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E\DBP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Data!$A$1:$FS$2773</definedName>
    <definedName name="Bid">Lookups!$D$8</definedName>
    <definedName name="_xlnm.Criteria">Lookups!$B$3:$E$4</definedName>
    <definedName name="data">Data!$A$1:$FS$2773</definedName>
    <definedName name="date">Table!$B$5</definedName>
    <definedName name="date_list">Lookups!$K$4:$K$11</definedName>
    <definedName name="dual_enrol_list">Lookups!$N$4:$N$6</definedName>
    <definedName name="Enrolled">Lookups!$D$6</definedName>
    <definedName name="ind_list">Lookups!$L$4:$L$11</definedName>
    <definedName name="lca">Table!$B$8</definedName>
    <definedName name="lca_list">Lookups!$M$4:$M$7</definedName>
    <definedName name="_xlnm.Print_Area" localSheetId="0">Table!$A$2:$N$36</definedName>
    <definedName name="Result_type">Table!$B$4</definedName>
    <definedName name="Result_type_list">Lookups!$J$4:$J$5</definedName>
    <definedName name="Two_way_tab_flag">Lookups!$D$7</definedName>
  </definedNames>
  <calcPr calcId="152511"/>
</workbook>
</file>

<file path=xl/calcChain.xml><?xml version="1.0" encoding="utf-8"?>
<calcChain xmlns="http://schemas.openxmlformats.org/spreadsheetml/2006/main">
  <c r="S13" i="2" l="1"/>
  <c r="S14" i="2" l="1"/>
  <c r="J3" i="4" l="1"/>
  <c r="F18" i="2"/>
  <c r="F17" i="2"/>
  <c r="H32" i="4" l="1"/>
  <c r="G32" i="4"/>
  <c r="G5" i="4"/>
  <c r="D7" i="2" l="1"/>
  <c r="C32" i="2" l="1"/>
  <c r="F16" i="2" l="1"/>
  <c r="F15" i="2"/>
  <c r="F14" i="2"/>
  <c r="F13" i="2"/>
  <c r="F12" i="2"/>
  <c r="F11" i="2"/>
  <c r="F32" i="4"/>
  <c r="A27" i="2" l="1"/>
  <c r="A26" i="2"/>
  <c r="A25" i="2"/>
  <c r="A24" i="2"/>
  <c r="A23" i="2"/>
  <c r="A22" i="2"/>
  <c r="A21" i="2"/>
  <c r="A20" i="2"/>
  <c r="A19" i="2"/>
  <c r="G32" i="2" l="1"/>
  <c r="A33" i="2"/>
  <c r="C33" i="2" s="1"/>
  <c r="D4" i="2"/>
  <c r="A1" i="4" s="1"/>
  <c r="B4" i="2"/>
  <c r="J32" i="4"/>
  <c r="J6" i="4"/>
  <c r="H5" i="4"/>
  <c r="F5" i="4"/>
  <c r="D8" i="2" l="1"/>
  <c r="G2" i="4"/>
  <c r="D6" i="2"/>
  <c r="G3" i="4"/>
  <c r="M33" i="2"/>
  <c r="G33" i="2"/>
  <c r="M32" i="2"/>
  <c r="L33" i="2"/>
  <c r="E33" i="2"/>
  <c r="H33" i="2"/>
  <c r="I33" i="2"/>
  <c r="J33" i="2"/>
  <c r="F33" i="2"/>
  <c r="D33" i="2"/>
  <c r="K33" i="2"/>
  <c r="L32" i="2"/>
  <c r="D32" i="2"/>
  <c r="E32" i="2"/>
  <c r="H32" i="2"/>
  <c r="I32" i="2"/>
  <c r="J32" i="2"/>
  <c r="F32" i="2"/>
  <c r="K32" i="2"/>
  <c r="A34" i="2"/>
  <c r="C34" i="2" s="1"/>
  <c r="N31" i="4" l="1"/>
  <c r="F8" i="4"/>
  <c r="I10" i="4"/>
  <c r="B34" i="2" s="1"/>
  <c r="K12" i="4"/>
  <c r="N14" i="4"/>
  <c r="H17" i="4"/>
  <c r="L17" i="4" s="1"/>
  <c r="J19" i="4"/>
  <c r="M21" i="4"/>
  <c r="F24" i="4"/>
  <c r="I26" i="4"/>
  <c r="B50" i="2" s="1"/>
  <c r="K28" i="4"/>
  <c r="N30" i="4"/>
  <c r="I9" i="4"/>
  <c r="K11" i="4"/>
  <c r="N13" i="4"/>
  <c r="H16" i="4"/>
  <c r="J18" i="4"/>
  <c r="M20" i="4"/>
  <c r="F23" i="4"/>
  <c r="I25" i="4"/>
  <c r="B49" i="2" s="1"/>
  <c r="K27" i="4"/>
  <c r="N29" i="4"/>
  <c r="I8" i="4"/>
  <c r="B32" i="2" s="1"/>
  <c r="K10" i="4"/>
  <c r="N12" i="4"/>
  <c r="H15" i="4"/>
  <c r="L15" i="4" s="1"/>
  <c r="J17" i="4"/>
  <c r="M19" i="4"/>
  <c r="F22" i="4"/>
  <c r="I24" i="4"/>
  <c r="B48" i="2" s="1"/>
  <c r="K26" i="4"/>
  <c r="N28" i="4"/>
  <c r="H31" i="4"/>
  <c r="K9" i="4"/>
  <c r="N11" i="4"/>
  <c r="H14" i="4"/>
  <c r="L14" i="4" s="1"/>
  <c r="J16" i="4"/>
  <c r="M18" i="4"/>
  <c r="F21" i="4"/>
  <c r="I23" i="4"/>
  <c r="B47" i="2" s="1"/>
  <c r="N27" i="4"/>
  <c r="K8" i="4"/>
  <c r="N10" i="4"/>
  <c r="H13" i="4"/>
  <c r="L13" i="4" s="1"/>
  <c r="J15" i="4"/>
  <c r="M17" i="4"/>
  <c r="F20" i="4"/>
  <c r="I22" i="4"/>
  <c r="B46" i="2" s="1"/>
  <c r="K24" i="4"/>
  <c r="N26" i="4"/>
  <c r="H29" i="4"/>
  <c r="L29" i="4" s="1"/>
  <c r="J31" i="4"/>
  <c r="N9" i="4"/>
  <c r="H12" i="4"/>
  <c r="L12" i="4" s="1"/>
  <c r="J14" i="4"/>
  <c r="M16" i="4"/>
  <c r="F19" i="4"/>
  <c r="I21" i="4"/>
  <c r="B45" i="2" s="1"/>
  <c r="K23" i="4"/>
  <c r="N25" i="4"/>
  <c r="H28" i="4"/>
  <c r="J30" i="4"/>
  <c r="N8" i="4"/>
  <c r="H11" i="4"/>
  <c r="L11" i="4" s="1"/>
  <c r="J13" i="4"/>
  <c r="M15" i="4"/>
  <c r="F18" i="4"/>
  <c r="I20" i="4"/>
  <c r="B44" i="2" s="1"/>
  <c r="K22" i="4"/>
  <c r="N24" i="4"/>
  <c r="H27" i="4"/>
  <c r="L27" i="4" s="1"/>
  <c r="J29" i="4"/>
  <c r="M31" i="4"/>
  <c r="H10" i="4"/>
  <c r="L10" i="4" s="1"/>
  <c r="J12" i="4"/>
  <c r="M14" i="4"/>
  <c r="H9" i="4"/>
  <c r="L9" i="4" s="1"/>
  <c r="J11" i="4"/>
  <c r="M13" i="4"/>
  <c r="F16" i="4"/>
  <c r="G16" i="4" s="1"/>
  <c r="I18" i="4"/>
  <c r="K20" i="4"/>
  <c r="N22" i="4"/>
  <c r="H25" i="4"/>
  <c r="L25" i="4" s="1"/>
  <c r="J27" i="4"/>
  <c r="M29" i="4"/>
  <c r="H8" i="4"/>
  <c r="J10" i="4"/>
  <c r="M12" i="4"/>
  <c r="F15" i="4"/>
  <c r="I17" i="4"/>
  <c r="B41" i="2" s="1"/>
  <c r="K19" i="4"/>
  <c r="N21" i="4"/>
  <c r="H24" i="4"/>
  <c r="G24" i="4" s="1"/>
  <c r="J26" i="4"/>
  <c r="M28" i="4"/>
  <c r="F31" i="4"/>
  <c r="J9" i="4"/>
  <c r="M11" i="4"/>
  <c r="F14" i="4"/>
  <c r="G14" i="4" s="1"/>
  <c r="I16" i="4"/>
  <c r="B40" i="2" s="1"/>
  <c r="K18" i="4"/>
  <c r="N20" i="4"/>
  <c r="H23" i="4"/>
  <c r="J25" i="4"/>
  <c r="M27" i="4"/>
  <c r="F30" i="4"/>
  <c r="J8" i="4"/>
  <c r="M10" i="4"/>
  <c r="F13" i="4"/>
  <c r="I15" i="4"/>
  <c r="B39" i="2" s="1"/>
  <c r="K17" i="4"/>
  <c r="N19" i="4"/>
  <c r="H22" i="4"/>
  <c r="G22" i="4" s="1"/>
  <c r="J24" i="4"/>
  <c r="M26" i="4"/>
  <c r="F29" i="4"/>
  <c r="I31" i="4"/>
  <c r="B55" i="2" s="1"/>
  <c r="M9" i="4"/>
  <c r="F12" i="4"/>
  <c r="I14" i="4"/>
  <c r="B38" i="2" s="1"/>
  <c r="K16" i="4"/>
  <c r="N18" i="4"/>
  <c r="H21" i="4"/>
  <c r="L21" i="4" s="1"/>
  <c r="J23" i="4"/>
  <c r="M25" i="4"/>
  <c r="F28" i="4"/>
  <c r="I30" i="4"/>
  <c r="B54" i="2" s="1"/>
  <c r="M8" i="4"/>
  <c r="F11" i="4"/>
  <c r="I13" i="4"/>
  <c r="B37" i="2" s="1"/>
  <c r="K15" i="4"/>
  <c r="N17" i="4"/>
  <c r="H20" i="4"/>
  <c r="L20" i="4" s="1"/>
  <c r="J22" i="4"/>
  <c r="M24" i="4"/>
  <c r="F27" i="4"/>
  <c r="I29" i="4"/>
  <c r="B53" i="2" s="1"/>
  <c r="K31" i="4"/>
  <c r="F10" i="4"/>
  <c r="I12" i="4"/>
  <c r="B36" i="2" s="1"/>
  <c r="K14" i="4"/>
  <c r="N16" i="4"/>
  <c r="H19" i="4"/>
  <c r="L19" i="4" s="1"/>
  <c r="J21" i="4"/>
  <c r="M23" i="4"/>
  <c r="F26" i="4"/>
  <c r="I28" i="4"/>
  <c r="B52" i="2" s="1"/>
  <c r="K30" i="4"/>
  <c r="F9" i="4"/>
  <c r="I11" i="4"/>
  <c r="B35" i="2" s="1"/>
  <c r="K13" i="4"/>
  <c r="N15" i="4"/>
  <c r="H18" i="4"/>
  <c r="L18" i="4" s="1"/>
  <c r="J20" i="4"/>
  <c r="M22" i="4"/>
  <c r="F25" i="4"/>
  <c r="I27" i="4"/>
  <c r="B51" i="2" s="1"/>
  <c r="K29" i="4"/>
  <c r="K25" i="4"/>
  <c r="H30" i="4"/>
  <c r="L30" i="4" s="1"/>
  <c r="K21" i="4"/>
  <c r="M30" i="4"/>
  <c r="N23" i="4"/>
  <c r="F17" i="4"/>
  <c r="H26" i="4"/>
  <c r="L26" i="4" s="1"/>
  <c r="I19" i="4"/>
  <c r="B43" i="2" s="1"/>
  <c r="J28" i="4"/>
  <c r="G31" i="4"/>
  <c r="G15" i="4"/>
  <c r="L31" i="4"/>
  <c r="L28" i="4"/>
  <c r="B42" i="2"/>
  <c r="L16" i="4"/>
  <c r="B33" i="2"/>
  <c r="A35" i="2"/>
  <c r="C35" i="2" s="1"/>
  <c r="G8" i="4" l="1"/>
  <c r="L22" i="4"/>
  <c r="G17" i="4"/>
  <c r="G23" i="4"/>
  <c r="G29" i="4"/>
  <c r="G11" i="4"/>
  <c r="G20" i="4"/>
  <c r="G10" i="4"/>
  <c r="G12" i="4"/>
  <c r="G9" i="4"/>
  <c r="L23" i="4"/>
  <c r="G13" i="4"/>
  <c r="G25" i="4"/>
  <c r="G18" i="4"/>
  <c r="G19" i="4"/>
  <c r="G30" i="4"/>
  <c r="F34" i="4"/>
  <c r="G26" i="4"/>
  <c r="H34" i="4"/>
  <c r="G27" i="4"/>
  <c r="G21" i="4"/>
  <c r="G28" i="4"/>
  <c r="I34" i="4"/>
  <c r="L24" i="4"/>
  <c r="L8" i="4"/>
  <c r="G34" i="2"/>
  <c r="M34" i="2"/>
  <c r="L34" i="2"/>
  <c r="E34" i="2"/>
  <c r="H34" i="2"/>
  <c r="I34" i="2"/>
  <c r="J34" i="2"/>
  <c r="K34" i="2"/>
  <c r="F34" i="2"/>
  <c r="D34" i="2"/>
  <c r="A36" i="2"/>
  <c r="C36" i="2" s="1"/>
  <c r="G34" i="4" l="1"/>
  <c r="M35" i="2"/>
  <c r="G35" i="2"/>
  <c r="L35" i="2"/>
  <c r="E35" i="2"/>
  <c r="H35" i="2"/>
  <c r="I35" i="2"/>
  <c r="J35" i="2"/>
  <c r="F35" i="2"/>
  <c r="D35" i="2"/>
  <c r="K35" i="2"/>
  <c r="A37" i="2"/>
  <c r="C37" i="2" s="1"/>
  <c r="M36" i="2" l="1"/>
  <c r="G36" i="2"/>
  <c r="L36" i="2"/>
  <c r="E36" i="2"/>
  <c r="H36" i="2"/>
  <c r="D36" i="2"/>
  <c r="I36" i="2"/>
  <c r="J36" i="2"/>
  <c r="K36" i="2"/>
  <c r="F36" i="2"/>
  <c r="A38" i="2"/>
  <c r="C38" i="2" s="1"/>
  <c r="M37" i="2" l="1"/>
  <c r="G37" i="2"/>
  <c r="L37" i="2"/>
  <c r="E37" i="2"/>
  <c r="H37" i="2"/>
  <c r="I37" i="2"/>
  <c r="D37" i="2"/>
  <c r="J37" i="2"/>
  <c r="K37" i="2"/>
  <c r="F37" i="2"/>
  <c r="A39" i="2"/>
  <c r="C39" i="2" s="1"/>
  <c r="M38" i="2" l="1"/>
  <c r="G38" i="2"/>
  <c r="L38" i="2"/>
  <c r="E38" i="2"/>
  <c r="H38" i="2"/>
  <c r="I38" i="2"/>
  <c r="J38" i="2"/>
  <c r="D38" i="2"/>
  <c r="F38" i="2"/>
  <c r="K38" i="2"/>
  <c r="A40" i="2"/>
  <c r="C40" i="2" s="1"/>
  <c r="M39" i="2" l="1"/>
  <c r="G39" i="2"/>
  <c r="L39" i="2"/>
  <c r="H39" i="2"/>
  <c r="I39" i="2"/>
  <c r="J39" i="2"/>
  <c r="K39" i="2"/>
  <c r="E39" i="2"/>
  <c r="D39" i="2"/>
  <c r="F39" i="2"/>
  <c r="A41" i="2"/>
  <c r="C41" i="2" s="1"/>
  <c r="M40" i="2" l="1"/>
  <c r="G40" i="2"/>
  <c r="L40" i="2"/>
  <c r="D40" i="2"/>
  <c r="H40" i="2"/>
  <c r="I40" i="2"/>
  <c r="J40" i="2"/>
  <c r="E40" i="2"/>
  <c r="F40" i="2"/>
  <c r="K40" i="2"/>
  <c r="A42" i="2"/>
  <c r="C42" i="2" s="1"/>
  <c r="M41" i="2" l="1"/>
  <c r="G41" i="2"/>
  <c r="L41" i="2"/>
  <c r="H41" i="2"/>
  <c r="I41" i="2"/>
  <c r="J41" i="2"/>
  <c r="K41" i="2"/>
  <c r="D41" i="2"/>
  <c r="E41" i="2"/>
  <c r="F41" i="2"/>
  <c r="A43" i="2"/>
  <c r="C43" i="2" s="1"/>
  <c r="G42" i="2" l="1"/>
  <c r="M42" i="2"/>
  <c r="L42" i="2"/>
  <c r="H42" i="2"/>
  <c r="I42" i="2"/>
  <c r="J42" i="2"/>
  <c r="E42" i="2"/>
  <c r="D42" i="2"/>
  <c r="F42" i="2"/>
  <c r="K42" i="2"/>
  <c r="A44" i="2"/>
  <c r="C44" i="2" s="1"/>
  <c r="M43" i="2" l="1"/>
  <c r="G43" i="2"/>
  <c r="L43" i="2"/>
  <c r="H43" i="2"/>
  <c r="I43" i="2"/>
  <c r="J43" i="2"/>
  <c r="K43" i="2"/>
  <c r="D43" i="2"/>
  <c r="E43" i="2"/>
  <c r="F43" i="2"/>
  <c r="A45" i="2"/>
  <c r="C45" i="2" s="1"/>
  <c r="M44" i="2" l="1"/>
  <c r="G44" i="2"/>
  <c r="L44" i="2"/>
  <c r="H44" i="2"/>
  <c r="D44" i="2"/>
  <c r="I44" i="2"/>
  <c r="J44" i="2"/>
  <c r="E44" i="2"/>
  <c r="F44" i="2"/>
  <c r="K44" i="2"/>
  <c r="A46" i="2"/>
  <c r="C46" i="2" s="1"/>
  <c r="M45" i="2" l="1"/>
  <c r="G45" i="2"/>
  <c r="L45" i="2"/>
  <c r="H45" i="2"/>
  <c r="I45" i="2"/>
  <c r="D45" i="2"/>
  <c r="J45" i="2"/>
  <c r="K45" i="2"/>
  <c r="E45" i="2"/>
  <c r="F45" i="2"/>
  <c r="A47" i="2"/>
  <c r="C47" i="2" s="1"/>
  <c r="M46" i="2" l="1"/>
  <c r="G46" i="2"/>
  <c r="L46" i="2"/>
  <c r="H46" i="2"/>
  <c r="I46" i="2"/>
  <c r="J46" i="2"/>
  <c r="E46" i="2"/>
  <c r="F46" i="2"/>
  <c r="D46" i="2"/>
  <c r="K46" i="2"/>
  <c r="A48" i="2"/>
  <c r="C48" i="2" s="1"/>
  <c r="M47" i="2" l="1"/>
  <c r="G47" i="2"/>
  <c r="L47" i="2"/>
  <c r="H47" i="2"/>
  <c r="I47" i="2"/>
  <c r="J47" i="2"/>
  <c r="K47" i="2"/>
  <c r="D47" i="2"/>
  <c r="E47" i="2"/>
  <c r="F47" i="2"/>
  <c r="A49" i="2"/>
  <c r="C49" i="2" s="1"/>
  <c r="M48" i="2" l="1"/>
  <c r="G48" i="2"/>
  <c r="L48" i="2"/>
  <c r="D48" i="2"/>
  <c r="H48" i="2"/>
  <c r="I48" i="2"/>
  <c r="J48" i="2"/>
  <c r="E48" i="2"/>
  <c r="F48" i="2"/>
  <c r="K48" i="2"/>
  <c r="A50" i="2"/>
  <c r="C50" i="2" s="1"/>
  <c r="M49" i="2" l="1"/>
  <c r="G49" i="2"/>
  <c r="L49" i="2"/>
  <c r="H49" i="2"/>
  <c r="I49" i="2"/>
  <c r="J49" i="2"/>
  <c r="K49" i="2"/>
  <c r="E49" i="2"/>
  <c r="F49" i="2"/>
  <c r="D49" i="2"/>
  <c r="A51" i="2"/>
  <c r="C51" i="2" s="1"/>
  <c r="G50" i="2" l="1"/>
  <c r="M50" i="2"/>
  <c r="L50" i="2"/>
  <c r="H50" i="2"/>
  <c r="I50" i="2"/>
  <c r="J50" i="2"/>
  <c r="E50" i="2"/>
  <c r="F50" i="2"/>
  <c r="K50" i="2"/>
  <c r="D50" i="2"/>
  <c r="A52" i="2"/>
  <c r="C52" i="2" s="1"/>
  <c r="M51" i="2" l="1"/>
  <c r="G51" i="2"/>
  <c r="L51" i="2"/>
  <c r="H51" i="2"/>
  <c r="I51" i="2"/>
  <c r="J51" i="2"/>
  <c r="K51" i="2"/>
  <c r="E51" i="2"/>
  <c r="F51" i="2"/>
  <c r="D51" i="2"/>
  <c r="A53" i="2"/>
  <c r="C53" i="2" s="1"/>
  <c r="M52" i="2" l="1"/>
  <c r="G52" i="2"/>
  <c r="L52" i="2"/>
  <c r="H52" i="2"/>
  <c r="D52" i="2"/>
  <c r="I52" i="2"/>
  <c r="J52" i="2"/>
  <c r="E52" i="2"/>
  <c r="F52" i="2"/>
  <c r="K52" i="2"/>
  <c r="A54" i="2"/>
  <c r="C54" i="2" s="1"/>
  <c r="M53" i="2" l="1"/>
  <c r="G53" i="2"/>
  <c r="L53" i="2"/>
  <c r="H53" i="2"/>
  <c r="I53" i="2"/>
  <c r="D53" i="2"/>
  <c r="J53" i="2"/>
  <c r="K53" i="2"/>
  <c r="E53" i="2"/>
  <c r="F53" i="2"/>
  <c r="A55" i="2"/>
  <c r="C55" i="2" s="1"/>
  <c r="M54" i="2" l="1"/>
  <c r="G54" i="2"/>
  <c r="M55" i="2"/>
  <c r="G55" i="2"/>
  <c r="L54" i="2"/>
  <c r="H54" i="2"/>
  <c r="I54" i="2"/>
  <c r="D54" i="2"/>
  <c r="E54" i="2"/>
  <c r="F54" i="2"/>
  <c r="J54" i="2"/>
  <c r="K54" i="2"/>
  <c r="L55" i="2"/>
  <c r="L56" i="2" s="1"/>
  <c r="H55" i="2"/>
  <c r="H56" i="2" s="1"/>
  <c r="I55" i="2"/>
  <c r="J55" i="2"/>
  <c r="D55" i="2"/>
  <c r="K55" i="2"/>
  <c r="E55" i="2"/>
  <c r="F55" i="2"/>
  <c r="I56" i="2" l="1"/>
  <c r="K56" i="2"/>
  <c r="J56" i="2"/>
  <c r="G56" i="2"/>
  <c r="I35" i="4" s="1"/>
  <c r="F56" i="2"/>
  <c r="H35" i="4" s="1"/>
  <c r="E56" i="2"/>
  <c r="G35" i="4" s="1"/>
  <c r="D56" i="2"/>
  <c r="F35" i="4" s="1"/>
  <c r="M56" i="2"/>
  <c r="V17" i="2" l="1"/>
  <c r="R17" i="2"/>
  <c r="J35" i="4" s="1"/>
  <c r="U17" i="2"/>
  <c r="T17" i="2"/>
  <c r="S17" i="2"/>
  <c r="K35" i="4" s="1"/>
  <c r="L35" i="4"/>
  <c r="N35" i="4"/>
  <c r="M35" i="4"/>
  <c r="H36" i="4"/>
</calcChain>
</file>

<file path=xl/sharedStrings.xml><?xml version="1.0" encoding="utf-8"?>
<sst xmlns="http://schemas.openxmlformats.org/spreadsheetml/2006/main" count="294" uniqueCount="244">
  <si>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</si>
  <si>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</si>
  <si>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</si>
  <si>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</si>
  <si>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</si>
  <si>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</si>
  <si>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</si>
  <si>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</si>
  <si>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</si>
  <si>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</si>
  <si>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</si>
  <si>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</si>
  <si>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</si>
  <si>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</si>
  <si>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</si>
  <si>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</si>
  <si>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</si>
  <si>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</si>
  <si>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</si>
  <si>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</si>
  <si>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</si>
  <si>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</si>
  <si>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</si>
  <si>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</si>
  <si>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</si>
  <si>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</si>
  <si>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</si>
  <si>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</si>
  <si>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</si>
  <si>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</si>
  <si>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</si>
  <si>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</si>
  <si>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</si>
  <si>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</si>
  <si>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</si>
  <si>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</si>
  <si>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</si>
  <si>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</si>
  <si>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</si>
  <si>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</si>
  <si>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</si>
  <si>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</si>
  <si>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</si>
  <si>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</si>
  <si>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</si>
  <si>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</si>
  <si>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</si>
  <si>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</si>
  <si>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</si>
  <si>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</si>
  <si>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</si>
  <si>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</si>
  <si>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</si>
  <si>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</si>
  <si>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</si>
  <si>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</si>
  <si>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</si>
  <si>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</si>
  <si>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</si>
  <si>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</si>
  <si>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</si>
  <si>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</si>
  <si>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</si>
  <si>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</si>
  <si>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</si>
  <si>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</si>
  <si>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</si>
  <si>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</si>
  <si>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</si>
  <si>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</si>
  <si>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</si>
  <si>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</si>
  <si>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</si>
  <si>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</si>
  <si>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</si>
  <si>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</si>
  <si>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</si>
  <si>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</si>
  <si>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</si>
  <si>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</si>
  <si>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</si>
  <si>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</si>
  <si>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</si>
  <si>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</si>
  <si>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</si>
  <si>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</si>
  <si>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</si>
  <si>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</si>
  <si>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</si>
  <si>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</si>
  <si>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</si>
  <si>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</si>
  <si>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</si>
  <si>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</si>
  <si>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</si>
  <si>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</si>
  <si>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</si>
  <si>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</si>
  <si>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</si>
  <si>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</si>
  <si>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</si>
  <si>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</si>
  <si>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</si>
  <si>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</si>
  <si>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</si>
  <si>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</si>
  <si>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</si>
  <si>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</si>
  <si>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</si>
  <si>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</si>
  <si>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</si>
  <si>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</si>
  <si>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</si>
  <si>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</si>
  <si>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</si>
  <si>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</si>
  <si>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</si>
  <si>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</si>
  <si>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</si>
  <si>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</si>
  <si>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</si>
  <si>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</si>
  <si>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</si>
  <si>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</si>
  <si>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</si>
  <si>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</si>
  <si>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</si>
  <si>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</si>
  <si>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</si>
  <si>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</si>
  <si>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</si>
  <si>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</si>
  <si>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</si>
  <si>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</si>
  <si>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</si>
  <si>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</si>
  <si>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</si>
  <si>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</si>
  <si>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</si>
  <si>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</si>
  <si>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</si>
  <si>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</si>
  <si>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</si>
  <si>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</si>
  <si>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</si>
  <si>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</si>
  <si>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</si>
  <si>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</si>
  <si>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</si>
  <si>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</si>
  <si>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</si>
  <si>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</si>
  <si>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</si>
  <si>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</si>
  <si>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</si>
  <si>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</si>
  <si>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</si>
  <si>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</si>
  <si>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</si>
  <si>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</si>
  <si>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</si>
  <si>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</si>
  <si>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</si>
  <si>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</si>
  <si>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</si>
  <si>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</si>
  <si>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</si>
  <si>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</si>
  <si>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</si>
  <si>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</si>
  <si>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</si>
  <si>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</si>
  <si>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</si>
  <si>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</si>
  <si>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</si>
  <si>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</si>
  <si>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</si>
  <si>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</si>
  <si>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</si>
  <si>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</si>
  <si>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</si>
  <si>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</si>
  <si>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</si>
  <si>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</si>
  <si>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</si>
  <si>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</si>
  <si>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</si>
  <si>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</si>
  <si>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</si>
  <si>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</si>
  <si>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</si>
  <si>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</si>
  <si>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</si>
  <si>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</si>
  <si>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</si>
  <si>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</si>
  <si>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</si>
  <si>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Retail stores</t>
  </si>
  <si>
    <t>Schools</t>
  </si>
  <si>
    <t>Wholesale, Transport, other utilities</t>
  </si>
  <si>
    <t>lca</t>
  </si>
  <si>
    <t>No</t>
  </si>
  <si>
    <t>Yes</t>
  </si>
  <si>
    <t>date</t>
  </si>
  <si>
    <t>Date</t>
  </si>
  <si>
    <t>Industry</t>
  </si>
  <si>
    <t>Dual Enrolled</t>
  </si>
  <si>
    <t>Results Type</t>
  </si>
  <si>
    <t>Average per Called Customer</t>
  </si>
  <si>
    <t>Two-way tab flag</t>
  </si>
  <si>
    <t>product</t>
  </si>
  <si>
    <t>evt_start</t>
  </si>
  <si>
    <t>evt_end</t>
  </si>
  <si>
    <t>Event Hours</t>
  </si>
  <si>
    <t>By Period: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</si>
  <si>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</si>
  <si>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</si>
  <si>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</si>
  <si>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</si>
  <si>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</si>
  <si>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</si>
  <si>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</si>
  <si>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</si>
  <si>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</si>
  <si>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</si>
  <si>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</si>
  <si>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</si>
  <si>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</si>
  <si>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bid</t>
  </si>
  <si>
    <t>enrolled</t>
  </si>
  <si>
    <t>Demand Bidding Program (DBP)</t>
  </si>
  <si>
    <t>Number of Accounts Bid:</t>
  </si>
  <si>
    <t xml:space="preserve"> Number of Accounts Enrolled:</t>
  </si>
  <si>
    <t>Enrollment</t>
  </si>
  <si>
    <t>LA Basin</t>
  </si>
  <si>
    <t>Outside Basin</t>
  </si>
  <si>
    <t>Ventura</t>
  </si>
  <si>
    <t>Southern California Edison</t>
  </si>
  <si>
    <t>Average Event Hour % Load Impact:</t>
  </si>
  <si>
    <t>Bid</t>
  </si>
  <si>
    <t>SD LI</t>
  </si>
  <si>
    <t>Active</t>
  </si>
  <si>
    <t>Use it</t>
  </si>
  <si>
    <t>_pass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</si>
</sst>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1" fillId="0" borderId="0" xfId="0" applyFont="1"/>
    <xf numFmtId="0" fontId="1" fillId="0" borderId="0" xfId="0" quotePrefix="1" applyFont="1" applyFill="1" applyBorder="1" applyAlignment="1">
      <alignment horizontal="left"/>
    </xf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64" fontId="11" fillId="0" borderId="20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0" fillId="3" borderId="0" xfId="0" applyFill="1"/>
    <xf numFmtId="14" fontId="0" fillId="0" borderId="0" xfId="0" applyNumberForma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4" fontId="0" fillId="0" borderId="0" xfId="0" applyNumberFormat="1"/>
    <xf numFmtId="0" fontId="1" fillId="0" borderId="0" xfId="0" quotePrefix="1" applyFont="1" applyAlignment="1">
      <alignment horizontal="left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8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641.35659999999996</c:v>
                </c:pt>
                <c:pt idx="1">
                  <c:v>638.93259999999998</c:v>
                </c:pt>
                <c:pt idx="2">
                  <c:v>632.36289999999997</c:v>
                </c:pt>
                <c:pt idx="3">
                  <c:v>629.96349999999995</c:v>
                </c:pt>
                <c:pt idx="4">
                  <c:v>649.54830000000004</c:v>
                </c:pt>
                <c:pt idx="5">
                  <c:v>690.6377</c:v>
                </c:pt>
                <c:pt idx="6">
                  <c:v>748.33749999999998</c:v>
                </c:pt>
                <c:pt idx="7">
                  <c:v>781.13139999999999</c:v>
                </c:pt>
                <c:pt idx="8">
                  <c:v>808.17100000000005</c:v>
                </c:pt>
                <c:pt idx="9">
                  <c:v>830.07050000000004</c:v>
                </c:pt>
                <c:pt idx="10">
                  <c:v>836.55259999999998</c:v>
                </c:pt>
                <c:pt idx="11">
                  <c:v>846.7672</c:v>
                </c:pt>
                <c:pt idx="12">
                  <c:v>841.48800000000006</c:v>
                </c:pt>
                <c:pt idx="13">
                  <c:v>846.28779999999995</c:v>
                </c:pt>
                <c:pt idx="14">
                  <c:v>841.51639999999998</c:v>
                </c:pt>
                <c:pt idx="15">
                  <c:v>832.09659999999997</c:v>
                </c:pt>
                <c:pt idx="16">
                  <c:v>820.25789999999995</c:v>
                </c:pt>
                <c:pt idx="17">
                  <c:v>802.68330000000003</c:v>
                </c:pt>
                <c:pt idx="18">
                  <c:v>770.08450000000005</c:v>
                </c:pt>
                <c:pt idx="19">
                  <c:v>754.22799999999995</c:v>
                </c:pt>
                <c:pt idx="20">
                  <c:v>748.1001</c:v>
                </c:pt>
                <c:pt idx="21">
                  <c:v>733.14369999999997</c:v>
                </c:pt>
                <c:pt idx="22">
                  <c:v>707.74260000000004</c:v>
                </c:pt>
                <c:pt idx="23">
                  <c:v>675.9502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617.31709999999998</c:v>
                </c:pt>
                <c:pt idx="1">
                  <c:v>615.44038999999998</c:v>
                </c:pt>
                <c:pt idx="2">
                  <c:v>615.58184999999992</c:v>
                </c:pt>
                <c:pt idx="3">
                  <c:v>634.88137599999993</c:v>
                </c:pt>
                <c:pt idx="4">
                  <c:v>661.10900000000004</c:v>
                </c:pt>
                <c:pt idx="5">
                  <c:v>700.63701300000002</c:v>
                </c:pt>
                <c:pt idx="6">
                  <c:v>749.95356800000002</c:v>
                </c:pt>
                <c:pt idx="7">
                  <c:v>768.65620000000001</c:v>
                </c:pt>
                <c:pt idx="8">
                  <c:v>796.09567000000004</c:v>
                </c:pt>
                <c:pt idx="9">
                  <c:v>815.14733000000001</c:v>
                </c:pt>
                <c:pt idx="10">
                  <c:v>816.00626999999997</c:v>
                </c:pt>
                <c:pt idx="11">
                  <c:v>783.61482999999998</c:v>
                </c:pt>
                <c:pt idx="12">
                  <c:v>734.08040000000005</c:v>
                </c:pt>
                <c:pt idx="13">
                  <c:v>734.68649999999991</c:v>
                </c:pt>
                <c:pt idx="14">
                  <c:v>736.66089999999997</c:v>
                </c:pt>
                <c:pt idx="15">
                  <c:v>722.61259999999993</c:v>
                </c:pt>
                <c:pt idx="16">
                  <c:v>708.09249999999997</c:v>
                </c:pt>
                <c:pt idx="17">
                  <c:v>692.38959999999997</c:v>
                </c:pt>
                <c:pt idx="18">
                  <c:v>665.46910000000003</c:v>
                </c:pt>
                <c:pt idx="19">
                  <c:v>660.98264999999992</c:v>
                </c:pt>
                <c:pt idx="20">
                  <c:v>694.40344000000005</c:v>
                </c:pt>
                <c:pt idx="21">
                  <c:v>700.47861999999998</c:v>
                </c:pt>
                <c:pt idx="22">
                  <c:v>681.88290000000006</c:v>
                </c:pt>
                <c:pt idx="23">
                  <c:v>663.72753999999998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219808"/>
        <c:axId val="365220368"/>
      </c:scatterChart>
      <c:valAx>
        <c:axId val="365219808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365220368"/>
        <c:crosses val="autoZero"/>
        <c:crossBetween val="midCat"/>
        <c:majorUnit val="1"/>
      </c:valAx>
      <c:valAx>
        <c:axId val="3652203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3652198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22411</xdr:rowOff>
    </xdr:from>
    <xdr:to>
      <xdr:col>3</xdr:col>
      <xdr:colOff>628650</xdr:colOff>
      <xdr:row>34</xdr:row>
      <xdr:rowOff>175933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/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Bot="1" x14ac:dyDescent="0.3">
      <c r="A1" s="2" t="str">
        <f>IF(DGET(data,"_pass",_xlnm.Criteria)=0,"Results are confidential for the selected LCA","")</f>
        <v/>
      </c>
      <c r="B1" s="2"/>
      <c r="C1" s="2"/>
      <c r="I1" s="3"/>
      <c r="J1" s="3"/>
      <c r="K1" s="45"/>
      <c r="L1" s="47"/>
    </row>
    <row r="2" spans="1:14" ht="17.25" customHeight="1" thickTop="1" thickBot="1" x14ac:dyDescent="0.3">
      <c r="A2" s="37" t="s">
        <v>19</v>
      </c>
      <c r="B2" s="7" t="s">
        <v>237</v>
      </c>
      <c r="C2" s="5"/>
      <c r="D2" s="5"/>
      <c r="F2" s="4" t="s">
        <v>231</v>
      </c>
      <c r="G2" s="39">
        <f>IF(Two_way_tab_flag=1,"n/a",DGET(data,"bid",_xlnm.Criteria))</f>
        <v>519.71429999999998</v>
      </c>
      <c r="I2" s="44"/>
      <c r="J2" s="3"/>
      <c r="K2" s="45"/>
      <c r="L2" s="47"/>
    </row>
    <row r="3" spans="1:14" ht="17.25" customHeight="1" thickTop="1" thickBot="1" x14ac:dyDescent="0.3">
      <c r="A3" s="38" t="s">
        <v>10</v>
      </c>
      <c r="B3" s="35" t="s">
        <v>230</v>
      </c>
      <c r="C3" s="5"/>
      <c r="D3" s="5"/>
      <c r="F3" s="3" t="s">
        <v>232</v>
      </c>
      <c r="G3" s="39">
        <f>IF(Two_way_tab_flag=1,"n/a",DGET(data,"enrolled",_xlnm.Criteria))</f>
        <v>943.57140000000004</v>
      </c>
      <c r="I3" s="61" t="s">
        <v>215</v>
      </c>
      <c r="J3" s="62" t="str">
        <f>IF(ISNA(VLOOKUP(date,Lookups!$B$11:$F$18,5,FALSE)),"n/a",VLOOKUP(date,Lookups!$B$11:$F$18,5,FALSE))</f>
        <v>Hours Ending 13 to 20</v>
      </c>
      <c r="K3" s="46"/>
    </row>
    <row r="4" spans="1:14" ht="17.25" customHeight="1" thickBot="1" x14ac:dyDescent="0.25">
      <c r="A4" s="37" t="s">
        <v>20</v>
      </c>
      <c r="B4" s="7" t="s">
        <v>3</v>
      </c>
      <c r="C4" s="5"/>
      <c r="D4" s="5"/>
    </row>
    <row r="5" spans="1:14" ht="17.25" customHeight="1" thickBot="1" x14ac:dyDescent="0.3">
      <c r="A5" s="37" t="s">
        <v>21</v>
      </c>
      <c r="B5" s="13" t="s">
        <v>2</v>
      </c>
      <c r="C5" s="5"/>
      <c r="D5" s="5"/>
      <c r="E5" s="79" t="s">
        <v>4</v>
      </c>
      <c r="F5" s="79" t="str">
        <f>"Estimated Reference Load ("&amp;IF(Result_type="Aggregate impact","MWh","kWh")&amp;"/hour)"</f>
        <v>Estimated Reference Load (MWh/hour)</v>
      </c>
      <c r="G5" s="79" t="str">
        <f>"Observed Event Day Load ("&amp;IF(Result_type="Aggregate Impact","MWh/hour)","kWh/hour)")</f>
        <v>Observed Event Day Load (MWh/hour)</v>
      </c>
      <c r="H5" s="79" t="str">
        <f>"Estimated Load Impact ("&amp;IF(Result_type="Aggregate Impact","MWh/hour)","kWh/hour)")</f>
        <v>Estimated Load Impact (MWh/hour)</v>
      </c>
      <c r="I5" s="82" t="s">
        <v>166</v>
      </c>
      <c r="J5" s="31"/>
      <c r="K5" s="32"/>
      <c r="L5" s="32"/>
      <c r="M5" s="32"/>
      <c r="N5" s="33"/>
    </row>
    <row r="6" spans="1:14" ht="17.25" customHeight="1" thickBot="1" x14ac:dyDescent="0.35">
      <c r="C6" s="5"/>
      <c r="D6" s="5"/>
      <c r="E6" s="80"/>
      <c r="F6" s="80"/>
      <c r="G6" s="80"/>
      <c r="H6" s="80"/>
      <c r="I6" s="80"/>
      <c r="J6" s="52" t="str">
        <f>"Uncertainty Adjusted Impact ("&amp;IF(Result_type="Aggregate Impact","MWh/hr)- Percentiles","kWh/hr)- Percentiles")</f>
        <v>Uncertainty Adjusted Impact (MWh/hr)- Percentiles</v>
      </c>
      <c r="K6" s="53"/>
      <c r="L6" s="53"/>
      <c r="M6" s="53"/>
      <c r="N6" s="54"/>
    </row>
    <row r="7" spans="1:14" ht="39" customHeight="1" thickBot="1" x14ac:dyDescent="0.25">
      <c r="A7" s="50"/>
      <c r="C7" s="5"/>
      <c r="D7" s="5"/>
      <c r="E7" s="81"/>
      <c r="F7" s="81"/>
      <c r="G7" s="81"/>
      <c r="H7" s="81"/>
      <c r="I7" s="81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7.25" customHeight="1" thickBot="1" x14ac:dyDescent="0.25">
      <c r="A8" s="38" t="s">
        <v>18</v>
      </c>
      <c r="B8" s="70" t="s">
        <v>1</v>
      </c>
      <c r="C8" s="10"/>
      <c r="D8" s="10"/>
      <c r="E8" s="36">
        <v>1</v>
      </c>
      <c r="F8" s="51">
        <f>IF(Bid=0,"n/a",DGET(data,"Ref_hr1",_xlnm.Criteria)/IF(Result_type="Aggregate Impact",1,Enrolled/1000))</f>
        <v>641.35659999999996</v>
      </c>
      <c r="G8" s="51">
        <f t="shared" ref="G8:G31" si="0">IF(Bid=0,"n/a",F8-H8)</f>
        <v>617.31709999999998</v>
      </c>
      <c r="H8" s="51">
        <f>IF(Bid=0,"n/a",DGET(data,"Pctile50_hr1",_xlnm.Criteria)/IF(Result_type="Aggregate Impact",1,Enrolled/1000))</f>
        <v>24.0395</v>
      </c>
      <c r="I8" s="51">
        <f>IF(Bid=0,"n/a",DGET(data,"Temp_hr1",_xlnm.Criteria))</f>
        <v>71.995750000000001</v>
      </c>
      <c r="J8" s="51">
        <f>IF(Bid=0,"n/a",DGET(data,"Pctile10_hr1",_xlnm.Criteria)/IF(Result_type="Aggregate Impact",1,Enrolled/1000))</f>
        <v>17.932839999999999</v>
      </c>
      <c r="K8" s="51">
        <f>IF(Bid=0,"n/a",DGET(data,"Pctile30_hr1",_xlnm.Criteria)/IF(Result_type="Aggregate Impact",1,Enrolled/1000))</f>
        <v>21.540700000000001</v>
      </c>
      <c r="L8" s="51">
        <f>H8</f>
        <v>24.0395</v>
      </c>
      <c r="M8" s="51">
        <f>IF(Bid=0,"n/a",DGET(data,"Pctile70_hr1",_xlnm.Criteria)/IF(Result_type="Aggregate Impact",1,Enrolled/1000))</f>
        <v>26.5383</v>
      </c>
      <c r="N8" s="51">
        <f>IF(Bid=0,"n/a",DGET(data,"Pctile90_hr1",_xlnm.Criteria)/IF(Result_type="Aggregate Impact",1,Enrolled/1000))</f>
        <v>30.146159999999998</v>
      </c>
    </row>
    <row r="9" spans="1:14" ht="17.25" customHeight="1" x14ac:dyDescent="0.2">
      <c r="C9" s="12"/>
      <c r="D9" s="12"/>
      <c r="E9" s="36">
        <v>2</v>
      </c>
      <c r="F9" s="51">
        <f>IF(Bid=0,"n/a",DGET(data,"Ref_hr2",_xlnm.Criteria)/IF(Result_type="Aggregate Impact",1,Enrolled/1000))</f>
        <v>638.93259999999998</v>
      </c>
      <c r="G9" s="51">
        <f t="shared" si="0"/>
        <v>615.44038999999998</v>
      </c>
      <c r="H9" s="51">
        <f>IF(Bid=0,"n/a",DGET(data,"Pctile50_hr2",_xlnm.Criteria)/IF(Result_type="Aggregate Impact",1,Enrolled/1000))</f>
        <v>23.49221</v>
      </c>
      <c r="I9" s="51">
        <f>IF(Bid=0,"n/a",DGET(data,"Temp_hr2",_xlnm.Criteria))</f>
        <v>71.060379999999995</v>
      </c>
      <c r="J9" s="51">
        <f>IF(Bid=0,"n/a",DGET(data,"Pctile10_hr2",_xlnm.Criteria)/IF(Result_type="Aggregate Impact",1,Enrolled/1000))</f>
        <v>17.638629999999999</v>
      </c>
      <c r="K9" s="51">
        <f>IF(Bid=0,"n/a",DGET(data,"Pctile30_hr2",_xlnm.Criteria)/IF(Result_type="Aggregate Impact",1,Enrolled/1000))</f>
        <v>21.096969999999999</v>
      </c>
      <c r="L9" s="51">
        <f t="shared" ref="L9:L31" si="1">H9</f>
        <v>23.49221</v>
      </c>
      <c r="M9" s="51">
        <f>IF(Bid=0,"n/a",DGET(data,"Pctile70_hr2",_xlnm.Criteria)/IF(Result_type="Aggregate Impact",1,Enrolled/1000))</f>
        <v>25.887450000000001</v>
      </c>
      <c r="N9" s="51">
        <f>IF(Bid=0,"n/a",DGET(data,"Pctile90_hr2",_xlnm.Criteria)/IF(Result_type="Aggregate Impact",1,Enrolled/1000))</f>
        <v>29.345800000000001</v>
      </c>
    </row>
    <row r="10" spans="1:14" ht="17.25" customHeight="1" x14ac:dyDescent="0.2">
      <c r="C10" s="14"/>
      <c r="D10" s="14"/>
      <c r="E10" s="36">
        <v>3</v>
      </c>
      <c r="F10" s="51">
        <f>IF(Bid=0,"n/a",DGET(data,"Ref_hr3",_xlnm.Criteria)/IF(Result_type="Aggregate Impact",1,Enrolled/1000))</f>
        <v>632.36289999999997</v>
      </c>
      <c r="G10" s="51">
        <f t="shared" si="0"/>
        <v>615.58184999999992</v>
      </c>
      <c r="H10" s="51">
        <f>IF(Bid=0,"n/a",DGET(data,"Pctile50_hr3",_xlnm.Criteria)/IF(Result_type="Aggregate Impact",1,Enrolled/1000))</f>
        <v>16.78105</v>
      </c>
      <c r="I10" s="51">
        <f>IF(Bid=0,"n/a",DGET(data,"Temp_hr3",_xlnm.Criteria))</f>
        <v>70.279020000000003</v>
      </c>
      <c r="J10" s="51">
        <f>IF(Bid=0,"n/a",DGET(data,"Pctile10_hr3",_xlnm.Criteria)/IF(Result_type="Aggregate Impact",1,Enrolled/1000))</f>
        <v>12.41278</v>
      </c>
      <c r="K10" s="51">
        <f>IF(Bid=0,"n/a",DGET(data,"Pctile30_hr3",_xlnm.Criteria)/IF(Result_type="Aggregate Impact",1,Enrolled/1000))</f>
        <v>14.993589999999999</v>
      </c>
      <c r="L10" s="51">
        <f t="shared" si="1"/>
        <v>16.78105</v>
      </c>
      <c r="M10" s="51">
        <f>IF(Bid=0,"n/a",DGET(data,"Pctile70_hr3",_xlnm.Criteria)/IF(Result_type="Aggregate Impact",1,Enrolled/1000))</f>
        <v>18.568519999999999</v>
      </c>
      <c r="N10" s="51">
        <f>IF(Bid=0,"n/a",DGET(data,"Pctile90_hr3",_xlnm.Criteria)/IF(Result_type="Aggregate Impact",1,Enrolled/1000))</f>
        <v>21.149329999999999</v>
      </c>
    </row>
    <row r="11" spans="1:14" ht="17.25" customHeight="1" x14ac:dyDescent="0.2">
      <c r="A11" s="50"/>
      <c r="B11" s="69"/>
      <c r="C11" s="15"/>
      <c r="D11" s="15"/>
      <c r="E11" s="36">
        <v>4</v>
      </c>
      <c r="F11" s="51">
        <f>IF(Bid=0,"n/a",DGET(data,"Ref_hr4",_xlnm.Criteria)/IF(Result_type="Aggregate Impact",1,Enrolled/1000))</f>
        <v>629.96349999999995</v>
      </c>
      <c r="G11" s="51">
        <f t="shared" si="0"/>
        <v>634.88137599999993</v>
      </c>
      <c r="H11" s="51">
        <f>IF(Bid=0,"n/a",DGET(data,"Pctile50_hr4",_xlnm.Criteria)/IF(Result_type="Aggregate Impact",1,Enrolled/1000))</f>
        <v>-4.9178759999999997</v>
      </c>
      <c r="I11" s="51">
        <f>IF(Bid=0,"n/a",DGET(data,"Temp_hr4",_xlnm.Criteria))</f>
        <v>69.823869999999999</v>
      </c>
      <c r="J11" s="51">
        <f>IF(Bid=0,"n/a",DGET(data,"Pctile10_hr4",_xlnm.Criteria)/IF(Result_type="Aggregate Impact",1,Enrolled/1000))</f>
        <v>-10.50929</v>
      </c>
      <c r="K11" s="51">
        <f>IF(Bid=0,"n/a",DGET(data,"Pctile30_hr4",_xlnm.Criteria)/IF(Result_type="Aggregate Impact",1,Enrolled/1000))</f>
        <v>-7.2058359999999997</v>
      </c>
      <c r="L11" s="51">
        <f t="shared" si="1"/>
        <v>-4.9178759999999997</v>
      </c>
      <c r="M11" s="51">
        <f>IF(Bid=0,"n/a",DGET(data,"Pctile70_hr4",_xlnm.Criteria)/IF(Result_type="Aggregate Impact",1,Enrolled/1000))</f>
        <v>-2.6299160000000001</v>
      </c>
      <c r="N11" s="51">
        <f>IF(Bid=0,"n/a",DGET(data,"Pctile90_hr4",_xlnm.Criteria)/IF(Result_type="Aggregate Impact",1,Enrolled/1000))</f>
        <v>0.67353549999999995</v>
      </c>
    </row>
    <row r="12" spans="1:14" ht="17.25" customHeight="1" x14ac:dyDescent="0.2">
      <c r="C12" s="15"/>
      <c r="D12" s="15"/>
      <c r="E12" s="36">
        <v>5</v>
      </c>
      <c r="F12" s="51">
        <f>IF(Bid=0,"n/a",DGET(data,"Ref_hr5",_xlnm.Criteria)/IF(Result_type="Aggregate Impact",1,Enrolled/1000))</f>
        <v>649.54830000000004</v>
      </c>
      <c r="G12" s="51">
        <f t="shared" si="0"/>
        <v>661.10900000000004</v>
      </c>
      <c r="H12" s="51">
        <f>IF(Bid=0,"n/a",DGET(data,"Pctile50_hr5",_xlnm.Criteria)/IF(Result_type="Aggregate Impact",1,Enrolled/1000))</f>
        <v>-11.560700000000001</v>
      </c>
      <c r="I12" s="51">
        <f>IF(Bid=0,"n/a",DGET(data,"Temp_hr5",_xlnm.Criteria))</f>
        <v>69.37679</v>
      </c>
      <c r="J12" s="51">
        <f>IF(Bid=0,"n/a",DGET(data,"Pctile10_hr5",_xlnm.Criteria)/IF(Result_type="Aggregate Impact",1,Enrolled/1000))</f>
        <v>-16.675339999999998</v>
      </c>
      <c r="K12" s="51">
        <f>IF(Bid=0,"n/a",DGET(data,"Pctile30_hr5",_xlnm.Criteria)/IF(Result_type="Aggregate Impact",1,Enrolled/1000))</f>
        <v>-13.65357</v>
      </c>
      <c r="L12" s="51">
        <f t="shared" si="1"/>
        <v>-11.560700000000001</v>
      </c>
      <c r="M12" s="51">
        <f>IF(Bid=0,"n/a",DGET(data,"Pctile70_hr5",_xlnm.Criteria)/IF(Result_type="Aggregate Impact",1,Enrolled/1000))</f>
        <v>-9.4678360000000001</v>
      </c>
      <c r="N12" s="51">
        <f>IF(Bid=0,"n/a",DGET(data,"Pctile90_hr5",_xlnm.Criteria)/IF(Result_type="Aggregate Impact",1,Enrolled/1000))</f>
        <v>-6.4460670000000002</v>
      </c>
    </row>
    <row r="13" spans="1:14" ht="17.25" customHeight="1" x14ac:dyDescent="0.2">
      <c r="D13" s="5"/>
      <c r="E13" s="36">
        <v>6</v>
      </c>
      <c r="F13" s="51">
        <f>IF(Bid=0,"n/a",DGET(data,"Ref_hr6",_xlnm.Criteria)/IF(Result_type="Aggregate Impact",1,Enrolled/1000))</f>
        <v>690.6377</v>
      </c>
      <c r="G13" s="51">
        <f t="shared" si="0"/>
        <v>700.63701300000002</v>
      </c>
      <c r="H13" s="51">
        <f>IF(Bid=0,"n/a",DGET(data,"Pctile50_hr6",_xlnm.Criteria)/IF(Result_type="Aggregate Impact",1,Enrolled/1000))</f>
        <v>-9.9993130000000008</v>
      </c>
      <c r="I13" s="51">
        <f>IF(Bid=0,"n/a",DGET(data,"Temp_hr6",_xlnm.Criteria))</f>
        <v>69.061970000000002</v>
      </c>
      <c r="J13" s="51">
        <f>IF(Bid=0,"n/a",DGET(data,"Pctile10_hr6",_xlnm.Criteria)/IF(Result_type="Aggregate Impact",1,Enrolled/1000))</f>
        <v>-14.23926</v>
      </c>
      <c r="K13" s="51">
        <f>IF(Bid=0,"n/a",DGET(data,"Pctile30_hr6",_xlnm.Criteria)/IF(Result_type="Aggregate Impact",1,Enrolled/1000))</f>
        <v>-11.73427</v>
      </c>
      <c r="L13" s="51">
        <f t="shared" si="1"/>
        <v>-9.9993130000000008</v>
      </c>
      <c r="M13" s="51">
        <f>IF(Bid=0,"n/a",DGET(data,"Pctile70_hr6",_xlnm.Criteria)/IF(Result_type="Aggregate Impact",1,Enrolled/1000))</f>
        <v>-8.2643609999999992</v>
      </c>
      <c r="N13" s="51">
        <f>IF(Bid=0,"n/a",DGET(data,"Pctile90_hr6",_xlnm.Criteria)/IF(Result_type="Aggregate Impact",1,Enrolled/1000))</f>
        <v>-5.7593670000000001</v>
      </c>
    </row>
    <row r="14" spans="1:14" ht="16.5" x14ac:dyDescent="0.2">
      <c r="D14" s="5"/>
      <c r="E14" s="36">
        <v>7</v>
      </c>
      <c r="F14" s="51">
        <f>IF(Bid=0,"n/a",DGET(data,"Ref_hr7",_xlnm.Criteria)/IF(Result_type="Aggregate Impact",1,Enrolled/1000))</f>
        <v>748.33749999999998</v>
      </c>
      <c r="G14" s="51">
        <f t="shared" si="0"/>
        <v>749.95356800000002</v>
      </c>
      <c r="H14" s="51">
        <f>IF(Bid=0,"n/a",DGET(data,"Pctile50_hr7",_xlnm.Criteria)/IF(Result_type="Aggregate Impact",1,Enrolled/1000))</f>
        <v>-1.6160680000000001</v>
      </c>
      <c r="I14" s="51">
        <f>IF(Bid=0,"n/a",DGET(data,"Temp_hr7",_xlnm.Criteria))</f>
        <v>70.11224</v>
      </c>
      <c r="J14" s="51">
        <f>IF(Bid=0,"n/a",DGET(data,"Pctile10_hr7",_xlnm.Criteria)/IF(Result_type="Aggregate Impact",1,Enrolled/1000))</f>
        <v>-7.7407260000000004</v>
      </c>
      <c r="K14" s="51">
        <f>IF(Bid=0,"n/a",DGET(data,"Pctile30_hr7",_xlnm.Criteria)/IF(Result_type="Aggregate Impact",1,Enrolled/1000))</f>
        <v>-4.1222279999999998</v>
      </c>
      <c r="L14" s="51">
        <f t="shared" si="1"/>
        <v>-1.6160680000000001</v>
      </c>
      <c r="M14" s="51">
        <f>IF(Bid=0,"n/a",DGET(data,"Pctile70_hr7",_xlnm.Criteria)/IF(Result_type="Aggregate Impact",1,Enrolled/1000))</f>
        <v>0.89009309999999997</v>
      </c>
      <c r="N14" s="51">
        <f>IF(Bid=0,"n/a",DGET(data,"Pctile90_hr7",_xlnm.Criteria)/IF(Result_type="Aggregate Impact",1,Enrolled/1000))</f>
        <v>4.508591</v>
      </c>
    </row>
    <row r="15" spans="1:14" ht="16.5" x14ac:dyDescent="0.2">
      <c r="A15" s="16"/>
      <c r="C15" s="5"/>
      <c r="D15" s="5"/>
      <c r="E15" s="36">
        <v>8</v>
      </c>
      <c r="F15" s="51">
        <f>IF(Bid=0,"n/a",DGET(data,"Ref_hr8",_xlnm.Criteria)/IF(Result_type="Aggregate Impact",1,Enrolled/1000))</f>
        <v>781.13139999999999</v>
      </c>
      <c r="G15" s="51">
        <f t="shared" si="0"/>
        <v>768.65620000000001</v>
      </c>
      <c r="H15" s="51">
        <f>IF(Bid=0,"n/a",DGET(data,"Pctile50_hr8",_xlnm.Criteria)/IF(Result_type="Aggregate Impact",1,Enrolled/1000))</f>
        <v>12.475199999999999</v>
      </c>
      <c r="I15" s="51">
        <f>IF(Bid=0,"n/a",DGET(data,"Temp_hr8",_xlnm.Criteria))</f>
        <v>72.964410000000001</v>
      </c>
      <c r="J15" s="51">
        <f>IF(Bid=0,"n/a",DGET(data,"Pctile10_hr8",_xlnm.Criteria)/IF(Result_type="Aggregate Impact",1,Enrolled/1000))</f>
        <v>6.4137639999999996</v>
      </c>
      <c r="K15" s="51">
        <f>IF(Bid=0,"n/a",DGET(data,"Pctile30_hr8",_xlnm.Criteria)/IF(Result_type="Aggregate Impact",1,Enrolled/1000))</f>
        <v>9.9949080000000006</v>
      </c>
      <c r="L15" s="51">
        <f t="shared" si="1"/>
        <v>12.475199999999999</v>
      </c>
      <c r="M15" s="51">
        <f>IF(Bid=0,"n/a",DGET(data,"Pctile70_hr8",_xlnm.Criteria)/IF(Result_type="Aggregate Impact",1,Enrolled/1000))</f>
        <v>14.955489999999999</v>
      </c>
      <c r="N15" s="51">
        <f>IF(Bid=0,"n/a",DGET(data,"Pctile90_hr8",_xlnm.Criteria)/IF(Result_type="Aggregate Impact",1,Enrolled/1000))</f>
        <v>18.536629999999999</v>
      </c>
    </row>
    <row r="16" spans="1:14" ht="16.5" x14ac:dyDescent="0.2">
      <c r="C16" s="5"/>
      <c r="D16" s="5"/>
      <c r="E16" s="36">
        <v>9</v>
      </c>
      <c r="F16" s="51">
        <f>IF(Bid=0,"n/a",DGET(data,"Ref_hr9",_xlnm.Criteria)/IF(Result_type="Aggregate Impact",1,Enrolled/1000))</f>
        <v>808.17100000000005</v>
      </c>
      <c r="G16" s="51">
        <f t="shared" si="0"/>
        <v>796.09567000000004</v>
      </c>
      <c r="H16" s="51">
        <f>IF(Bid=0,"n/a",DGET(data,"Pctile50_hr9",_xlnm.Criteria)/IF(Result_type="Aggregate Impact",1,Enrolled/1000))</f>
        <v>12.075329999999999</v>
      </c>
      <c r="I16" s="51">
        <f>IF(Bid=0,"n/a",DGET(data,"Temp_hr9",_xlnm.Criteria))</f>
        <v>76.721500000000006</v>
      </c>
      <c r="J16" s="51">
        <f>IF(Bid=0,"n/a",DGET(data,"Pctile10_hr9",_xlnm.Criteria)/IF(Result_type="Aggregate Impact",1,Enrolled/1000))</f>
        <v>6.058808</v>
      </c>
      <c r="K16" s="51">
        <f>IF(Bid=0,"n/a",DGET(data,"Pctile30_hr9",_xlnm.Criteria)/IF(Result_type="Aggregate Impact",1,Enrolled/1000))</f>
        <v>9.6134170000000001</v>
      </c>
      <c r="L16" s="51">
        <f t="shared" si="1"/>
        <v>12.075329999999999</v>
      </c>
      <c r="M16" s="51">
        <f>IF(Bid=0,"n/a",DGET(data,"Pctile70_hr9",_xlnm.Criteria)/IF(Result_type="Aggregate Impact",1,Enrolled/1000))</f>
        <v>14.537240000000001</v>
      </c>
      <c r="N16" s="51">
        <f>IF(Bid=0,"n/a",DGET(data,"Pctile90_hr9",_xlnm.Criteria)/IF(Result_type="Aggregate Impact",1,Enrolled/1000))</f>
        <v>18.091850000000001</v>
      </c>
    </row>
    <row r="17" spans="3:23" ht="16.5" x14ac:dyDescent="0.2">
      <c r="C17" s="5"/>
      <c r="D17" s="5"/>
      <c r="E17" s="36">
        <v>10</v>
      </c>
      <c r="F17" s="51">
        <f>IF(Bid=0,"n/a",DGET(data,"Ref_hr10",_xlnm.Criteria)/IF(Result_type="Aggregate Impact",1,Enrolled/1000))</f>
        <v>830.07050000000004</v>
      </c>
      <c r="G17" s="51">
        <f t="shared" si="0"/>
        <v>815.14733000000001</v>
      </c>
      <c r="H17" s="51">
        <f>IF(Bid=0,"n/a",DGET(data,"Pctile50_hr10",_xlnm.Criteria)/IF(Result_type="Aggregate Impact",1,Enrolled/1000))</f>
        <v>14.923170000000001</v>
      </c>
      <c r="I17" s="51">
        <f>IF(Bid=0,"n/a",DGET(data,"Temp_hr10",_xlnm.Criteria))</f>
        <v>80.054879999999997</v>
      </c>
      <c r="J17" s="51">
        <f>IF(Bid=0,"n/a",DGET(data,"Pctile10_hr10",_xlnm.Criteria)/IF(Result_type="Aggregate Impact",1,Enrolled/1000))</f>
        <v>6.8189169999999999</v>
      </c>
      <c r="K17" s="51">
        <f>IF(Bid=0,"n/a",DGET(data,"Pctile30_hr10",_xlnm.Criteria)/IF(Result_type="Aggregate Impact",1,Enrolled/1000))</f>
        <v>11.60697</v>
      </c>
      <c r="L17" s="51">
        <f t="shared" si="1"/>
        <v>14.923170000000001</v>
      </c>
      <c r="M17" s="51">
        <f>IF(Bid=0,"n/a",DGET(data,"Pctile70_hr10",_xlnm.Criteria)/IF(Result_type="Aggregate Impact",1,Enrolled/1000))</f>
        <v>18.239360000000001</v>
      </c>
      <c r="N17" s="51">
        <f>IF(Bid=0,"n/a",DGET(data,"Pctile90_hr10",_xlnm.Criteria)/IF(Result_type="Aggregate Impact",1,Enrolled/1000))</f>
        <v>23.027419999999999</v>
      </c>
    </row>
    <row r="18" spans="3:23" ht="16.5" x14ac:dyDescent="0.2">
      <c r="C18" s="5"/>
      <c r="D18" s="5"/>
      <c r="E18" s="36">
        <v>11</v>
      </c>
      <c r="F18" s="51">
        <f>IF(Bid=0,"n/a",DGET(data,"Ref_hr11",_xlnm.Criteria)/IF(Result_type="Aggregate Impact",1,Enrolled/1000))</f>
        <v>836.55259999999998</v>
      </c>
      <c r="G18" s="51">
        <f t="shared" si="0"/>
        <v>816.00626999999997</v>
      </c>
      <c r="H18" s="51">
        <f>IF(Bid=0,"n/a",DGET(data,"Pctile50_hr11",_xlnm.Criteria)/IF(Result_type="Aggregate Impact",1,Enrolled/1000))</f>
        <v>20.546330000000001</v>
      </c>
      <c r="I18" s="51">
        <f>IF(Bid=0,"n/a",DGET(data,"Temp_hr11",_xlnm.Criteria))</f>
        <v>82.99194</v>
      </c>
      <c r="J18" s="51">
        <f>IF(Bid=0,"n/a",DGET(data,"Pctile10_hr11",_xlnm.Criteria)/IF(Result_type="Aggregate Impact",1,Enrolled/1000))</f>
        <v>12.69694</v>
      </c>
      <c r="K18" s="51">
        <f>IF(Bid=0,"n/a",DGET(data,"Pctile30_hr11",_xlnm.Criteria)/IF(Result_type="Aggregate Impact",1,Enrolled/1000))</f>
        <v>17.334420000000001</v>
      </c>
      <c r="L18" s="51">
        <f t="shared" si="1"/>
        <v>20.546330000000001</v>
      </c>
      <c r="M18" s="51">
        <f>IF(Bid=0,"n/a",DGET(data,"Pctile70_hr11",_xlnm.Criteria)/IF(Result_type="Aggregate Impact",1,Enrolled/1000))</f>
        <v>23.758230000000001</v>
      </c>
      <c r="N18" s="51">
        <f>IF(Bid=0,"n/a",DGET(data,"Pctile90_hr11",_xlnm.Criteria)/IF(Result_type="Aggregate Impact",1,Enrolled/1000))</f>
        <v>28.395710000000001</v>
      </c>
      <c r="S18" s="40"/>
      <c r="T18" s="40"/>
      <c r="U18" s="40"/>
      <c r="V18" s="40"/>
      <c r="W18" s="40"/>
    </row>
    <row r="19" spans="3:23" ht="16.5" x14ac:dyDescent="0.2">
      <c r="C19" s="5"/>
      <c r="D19" s="5"/>
      <c r="E19" s="36">
        <v>12</v>
      </c>
      <c r="F19" s="51">
        <f>IF(Bid=0,"n/a",DGET(data,"Ref_hr12",_xlnm.Criteria)/IF(Result_type="Aggregate Impact",1,Enrolled/1000))</f>
        <v>846.7672</v>
      </c>
      <c r="G19" s="51">
        <f t="shared" si="0"/>
        <v>783.61482999999998</v>
      </c>
      <c r="H19" s="51">
        <f>IF(Bid=0,"n/a",DGET(data,"Pctile50_hr12",_xlnm.Criteria)/IF(Result_type="Aggregate Impact",1,Enrolled/1000))</f>
        <v>63.152369999999998</v>
      </c>
      <c r="I19" s="51">
        <f>IF(Bid=0,"n/a",DGET(data,"Temp_hr12",_xlnm.Criteria))</f>
        <v>85.339550000000003</v>
      </c>
      <c r="J19" s="51">
        <f>IF(Bid=0,"n/a",DGET(data,"Pctile10_hr12",_xlnm.Criteria)/IF(Result_type="Aggregate Impact",1,Enrolled/1000))</f>
        <v>55.125549999999997</v>
      </c>
      <c r="K19" s="51">
        <f>IF(Bid=0,"n/a",DGET(data,"Pctile30_hr12",_xlnm.Criteria)/IF(Result_type="Aggregate Impact",1,Enrolled/1000))</f>
        <v>59.86786</v>
      </c>
      <c r="L19" s="51">
        <f t="shared" si="1"/>
        <v>63.152369999999998</v>
      </c>
      <c r="M19" s="51">
        <f>IF(Bid=0,"n/a",DGET(data,"Pctile70_hr12",_xlnm.Criteria)/IF(Result_type="Aggregate Impact",1,Enrolled/1000))</f>
        <v>66.436869999999999</v>
      </c>
      <c r="N19" s="51">
        <f>IF(Bid=0,"n/a",DGET(data,"Pctile90_hr12",_xlnm.Criteria)/IF(Result_type="Aggregate Impact",1,Enrolled/1000))</f>
        <v>71.179180000000002</v>
      </c>
      <c r="S19" s="40"/>
      <c r="T19" s="40"/>
      <c r="U19" s="40"/>
      <c r="V19" s="40"/>
      <c r="W19" s="40"/>
    </row>
    <row r="20" spans="3:23" ht="16.5" x14ac:dyDescent="0.2">
      <c r="C20" s="5"/>
      <c r="D20" s="5"/>
      <c r="E20" s="36">
        <v>13</v>
      </c>
      <c r="F20" s="51">
        <f>IF(Bid=0,"n/a",DGET(data,"Ref_hr13",_xlnm.Criteria)/IF(Result_type="Aggregate Impact",1,Enrolled/1000))</f>
        <v>841.48800000000006</v>
      </c>
      <c r="G20" s="51">
        <f t="shared" si="0"/>
        <v>734.08040000000005</v>
      </c>
      <c r="H20" s="51">
        <f>IF(Bid=0,"n/a",DGET(data,"Pctile50_hr13",_xlnm.Criteria)/IF(Result_type="Aggregate Impact",1,Enrolled/1000))</f>
        <v>107.4076</v>
      </c>
      <c r="I20" s="51">
        <f>IF(Bid=0,"n/a",DGET(data,"Temp_hr13",_xlnm.Criteria))</f>
        <v>87.060580000000002</v>
      </c>
      <c r="J20" s="51">
        <f>IF(Bid=0,"n/a",DGET(data,"Pctile10_hr13",_xlnm.Criteria)/IF(Result_type="Aggregate Impact",1,Enrolled/1000))</f>
        <v>99.350830000000002</v>
      </c>
      <c r="K20" s="51">
        <f>IF(Bid=0,"n/a",DGET(data,"Pctile30_hr13",_xlnm.Criteria)/IF(Result_type="Aggregate Impact",1,Enrolled/1000))</f>
        <v>104.1108</v>
      </c>
      <c r="L20" s="51">
        <f t="shared" si="1"/>
        <v>107.4076</v>
      </c>
      <c r="M20" s="51">
        <f>IF(Bid=0,"n/a",DGET(data,"Pctile70_hr13",_xlnm.Criteria)/IF(Result_type="Aggregate Impact",1,Enrolled/1000))</f>
        <v>110.7043</v>
      </c>
      <c r="N20" s="51">
        <f>IF(Bid=0,"n/a",DGET(data,"Pctile90_hr13",_xlnm.Criteria)/IF(Result_type="Aggregate Impact",1,Enrolled/1000))</f>
        <v>115.46429999999999</v>
      </c>
      <c r="S20" s="40"/>
      <c r="T20" s="40"/>
      <c r="U20" s="40"/>
      <c r="V20" s="40"/>
      <c r="W20" s="40"/>
    </row>
    <row r="21" spans="3:23" ht="16.5" x14ac:dyDescent="0.2">
      <c r="C21" s="5"/>
      <c r="D21" s="5"/>
      <c r="E21" s="36">
        <v>14</v>
      </c>
      <c r="F21" s="51">
        <f>IF(Bid=0,"n/a",DGET(data,"Ref_hr14",_xlnm.Criteria)/IF(Result_type="Aggregate Impact",1,Enrolled/1000))</f>
        <v>846.28779999999995</v>
      </c>
      <c r="G21" s="51">
        <f t="shared" si="0"/>
        <v>734.68649999999991</v>
      </c>
      <c r="H21" s="51">
        <f>IF(Bid=0,"n/a",DGET(data,"Pctile50_hr14",_xlnm.Criteria)/IF(Result_type="Aggregate Impact",1,Enrolled/1000))</f>
        <v>111.60129999999999</v>
      </c>
      <c r="I21" s="51">
        <f>IF(Bid=0,"n/a",DGET(data,"Temp_hr14",_xlnm.Criteria))</f>
        <v>87.996510000000001</v>
      </c>
      <c r="J21" s="51">
        <f>IF(Bid=0,"n/a",DGET(data,"Pctile10_hr14",_xlnm.Criteria)/IF(Result_type="Aggregate Impact",1,Enrolled/1000))</f>
        <v>103.8702</v>
      </c>
      <c r="K21" s="51">
        <f>IF(Bid=0,"n/a",DGET(data,"Pctile30_hr14",_xlnm.Criteria)/IF(Result_type="Aggregate Impact",1,Enrolled/1000))</f>
        <v>108.4378</v>
      </c>
      <c r="L21" s="51">
        <f t="shared" si="1"/>
        <v>111.60129999999999</v>
      </c>
      <c r="M21" s="51">
        <f>IF(Bid=0,"n/a",DGET(data,"Pctile70_hr14",_xlnm.Criteria)/IF(Result_type="Aggregate Impact",1,Enrolled/1000))</f>
        <v>114.7649</v>
      </c>
      <c r="N21" s="51">
        <f>IF(Bid=0,"n/a",DGET(data,"Pctile90_hr14",_xlnm.Criteria)/IF(Result_type="Aggregate Impact",1,Enrolled/1000))</f>
        <v>119.3325</v>
      </c>
      <c r="S21" s="40"/>
      <c r="T21" s="40"/>
      <c r="U21" s="40"/>
      <c r="V21" s="40"/>
      <c r="W21" s="40"/>
    </row>
    <row r="22" spans="3:23" ht="16.5" x14ac:dyDescent="0.2">
      <c r="C22" s="5"/>
      <c r="D22" s="5"/>
      <c r="E22" s="36">
        <v>15</v>
      </c>
      <c r="F22" s="51">
        <f>IF(Bid=0,"n/a",DGET(data,"Ref_hr15",_xlnm.Criteria)/IF(Result_type="Aggregate Impact",1,Enrolled/1000))</f>
        <v>841.51639999999998</v>
      </c>
      <c r="G22" s="51">
        <f t="shared" si="0"/>
        <v>736.66089999999997</v>
      </c>
      <c r="H22" s="51">
        <f>IF(Bid=0,"n/a",DGET(data,"Pctile50_hr15",_xlnm.Criteria)/IF(Result_type="Aggregate Impact",1,Enrolled/1000))</f>
        <v>104.85550000000001</v>
      </c>
      <c r="I22" s="51">
        <f>IF(Bid=0,"n/a",DGET(data,"Temp_hr15",_xlnm.Criteria))</f>
        <v>88.591589999999997</v>
      </c>
      <c r="J22" s="51">
        <f>IF(Bid=0,"n/a",DGET(data,"Pctile10_hr15",_xlnm.Criteria)/IF(Result_type="Aggregate Impact",1,Enrolled/1000))</f>
        <v>97.218249999999998</v>
      </c>
      <c r="K22" s="51">
        <f>IF(Bid=0,"n/a",DGET(data,"Pctile30_hr15",_xlnm.Criteria)/IF(Result_type="Aggregate Impact",1,Enrolled/1000))</f>
        <v>101.7304</v>
      </c>
      <c r="L22" s="51">
        <f t="shared" si="1"/>
        <v>104.85550000000001</v>
      </c>
      <c r="M22" s="51">
        <f>IF(Bid=0,"n/a",DGET(data,"Pctile70_hr15",_xlnm.Criteria)/IF(Result_type="Aggregate Impact",1,Enrolled/1000))</f>
        <v>107.98050000000001</v>
      </c>
      <c r="N22" s="51">
        <f>IF(Bid=0,"n/a",DGET(data,"Pctile90_hr15",_xlnm.Criteria)/IF(Result_type="Aggregate Impact",1,Enrolled/1000))</f>
        <v>112.4927</v>
      </c>
      <c r="S22" s="40"/>
      <c r="T22" s="40"/>
      <c r="U22" s="40"/>
      <c r="V22" s="40"/>
      <c r="W22" s="40"/>
    </row>
    <row r="23" spans="3:23" ht="16.5" x14ac:dyDescent="0.2">
      <c r="C23" s="5"/>
      <c r="D23" s="5"/>
      <c r="E23" s="36">
        <v>16</v>
      </c>
      <c r="F23" s="51">
        <f>IF(Bid=0,"n/a",DGET(data,"Ref_hr16",_xlnm.Criteria)/IF(Result_type="Aggregate Impact",1,Enrolled/1000))</f>
        <v>832.09659999999997</v>
      </c>
      <c r="G23" s="51">
        <f t="shared" si="0"/>
        <v>722.61259999999993</v>
      </c>
      <c r="H23" s="51">
        <f>IF(Bid=0,"n/a",DGET(data,"Pctile50_hr16",_xlnm.Criteria)/IF(Result_type="Aggregate Impact",1,Enrolled/1000))</f>
        <v>109.48399999999999</v>
      </c>
      <c r="I23" s="51">
        <f>IF(Bid=0,"n/a",DGET(data,"Temp_hr16",_xlnm.Criteria))</f>
        <v>88.343119999999999</v>
      </c>
      <c r="J23" s="51">
        <f>IF(Bid=0,"n/a",DGET(data,"Pctile10_hr16",_xlnm.Criteria)/IF(Result_type="Aggregate Impact",1,Enrolled/1000))</f>
        <v>101.4487</v>
      </c>
      <c r="K23" s="51">
        <f>IF(Bid=0,"n/a",DGET(data,"Pctile30_hr16",_xlnm.Criteria)/IF(Result_type="Aggregate Impact",1,Enrolled/1000))</f>
        <v>106.196</v>
      </c>
      <c r="L23" s="51">
        <f t="shared" si="1"/>
        <v>109.48399999999999</v>
      </c>
      <c r="M23" s="51">
        <f>IF(Bid=0,"n/a",DGET(data,"Pctile70_hr16",_xlnm.Criteria)/IF(Result_type="Aggregate Impact",1,Enrolled/1000))</f>
        <v>112.7719</v>
      </c>
      <c r="N23" s="51">
        <f>IF(Bid=0,"n/a",DGET(data,"Pctile90_hr16",_xlnm.Criteria)/IF(Result_type="Aggregate Impact",1,Enrolled/1000))</f>
        <v>117.5192</v>
      </c>
      <c r="S23" s="40"/>
      <c r="T23" s="40"/>
      <c r="U23" s="40"/>
      <c r="V23" s="40"/>
      <c r="W23" s="40"/>
    </row>
    <row r="24" spans="3:23" ht="16.5" x14ac:dyDescent="0.2">
      <c r="C24" s="5"/>
      <c r="D24" s="5"/>
      <c r="E24" s="36">
        <v>17</v>
      </c>
      <c r="F24" s="51">
        <f>IF(Bid=0,"n/a",DGET(data,"Ref_hr17",_xlnm.Criteria)/IF(Result_type="Aggregate Impact",1,Enrolled/1000))</f>
        <v>820.25789999999995</v>
      </c>
      <c r="G24" s="51">
        <f t="shared" si="0"/>
        <v>708.09249999999997</v>
      </c>
      <c r="H24" s="51">
        <f>IF(Bid=0,"n/a",DGET(data,"Pctile50_hr17",_xlnm.Criteria)/IF(Result_type="Aggregate Impact",1,Enrolled/1000))</f>
        <v>112.16540000000001</v>
      </c>
      <c r="I24" s="51">
        <f>IF(Bid=0,"n/a",DGET(data,"Temp_hr17",_xlnm.Criteria))</f>
        <v>87.001750000000001</v>
      </c>
      <c r="J24" s="51">
        <f>IF(Bid=0,"n/a",DGET(data,"Pctile10_hr17",_xlnm.Criteria)/IF(Result_type="Aggregate Impact",1,Enrolled/1000))</f>
        <v>105.0008</v>
      </c>
      <c r="K24" s="51">
        <f>IF(Bid=0,"n/a",DGET(data,"Pctile30_hr17",_xlnm.Criteria)/IF(Result_type="Aggregate Impact",1,Enrolled/1000))</f>
        <v>109.2337</v>
      </c>
      <c r="L24" s="51">
        <f t="shared" si="1"/>
        <v>112.16540000000001</v>
      </c>
      <c r="M24" s="51">
        <f>IF(Bid=0,"n/a",DGET(data,"Pctile70_hr17",_xlnm.Criteria)/IF(Result_type="Aggregate Impact",1,Enrolled/1000))</f>
        <v>115.0971</v>
      </c>
      <c r="N24" s="51">
        <f>IF(Bid=0,"n/a",DGET(data,"Pctile90_hr17",_xlnm.Criteria)/IF(Result_type="Aggregate Impact",1,Enrolled/1000))</f>
        <v>119.3301</v>
      </c>
      <c r="S24" s="40"/>
      <c r="T24" s="40"/>
      <c r="U24" s="40"/>
      <c r="V24" s="40"/>
      <c r="W24" s="40"/>
    </row>
    <row r="25" spans="3:23" ht="16.5" x14ac:dyDescent="0.2">
      <c r="C25" s="5"/>
      <c r="D25" s="5"/>
      <c r="E25" s="36">
        <v>18</v>
      </c>
      <c r="F25" s="51">
        <f>IF(Bid=0,"n/a",DGET(data,"Ref_hr18",_xlnm.Criteria)/IF(Result_type="Aggregate Impact",1,Enrolled/1000))</f>
        <v>802.68330000000003</v>
      </c>
      <c r="G25" s="51">
        <f t="shared" si="0"/>
        <v>692.38959999999997</v>
      </c>
      <c r="H25" s="51">
        <f>IF(Bid=0,"n/a",DGET(data,"Pctile50_hr18",_xlnm.Criteria)/IF(Result_type="Aggregate Impact",1,Enrolled/1000))</f>
        <v>110.2937</v>
      </c>
      <c r="I25" s="51">
        <f>IF(Bid=0,"n/a",DGET(data,"Temp_hr18",_xlnm.Criteria))</f>
        <v>84.585909999999998</v>
      </c>
      <c r="J25" s="51">
        <f>IF(Bid=0,"n/a",DGET(data,"Pctile10_hr18",_xlnm.Criteria)/IF(Result_type="Aggregate Impact",1,Enrolled/1000))</f>
        <v>102.6452</v>
      </c>
      <c r="K25" s="51">
        <f>IF(Bid=0,"n/a",DGET(data,"Pctile30_hr18",_xlnm.Criteria)/IF(Result_type="Aggregate Impact",1,Enrolled/1000))</f>
        <v>107.164</v>
      </c>
      <c r="L25" s="51">
        <f t="shared" si="1"/>
        <v>110.2937</v>
      </c>
      <c r="M25" s="51">
        <f>IF(Bid=0,"n/a",DGET(data,"Pctile70_hr18",_xlnm.Criteria)/IF(Result_type="Aggregate Impact",1,Enrolled/1000))</f>
        <v>113.4234</v>
      </c>
      <c r="N25" s="51">
        <f>IF(Bid=0,"n/a",DGET(data,"Pctile90_hr18",_xlnm.Criteria)/IF(Result_type="Aggregate Impact",1,Enrolled/1000))</f>
        <v>117.9422</v>
      </c>
      <c r="S25" s="40"/>
      <c r="T25" s="40"/>
      <c r="U25" s="40"/>
      <c r="V25" s="40"/>
      <c r="W25" s="40"/>
    </row>
    <row r="26" spans="3:23" ht="16.5" x14ac:dyDescent="0.2">
      <c r="C26" s="5"/>
      <c r="D26" s="5"/>
      <c r="E26" s="36">
        <v>19</v>
      </c>
      <c r="F26" s="51">
        <f>IF(Bid=0,"n/a",DGET(data,"Ref_hr19",_xlnm.Criteria)/IF(Result_type="Aggregate Impact",1,Enrolled/1000))</f>
        <v>770.08450000000005</v>
      </c>
      <c r="G26" s="51">
        <f t="shared" si="0"/>
        <v>665.46910000000003</v>
      </c>
      <c r="H26" s="51">
        <f>IF(Bid=0,"n/a",DGET(data,"Pctile50_hr19",_xlnm.Criteria)/IF(Result_type="Aggregate Impact",1,Enrolled/1000))</f>
        <v>104.61539999999999</v>
      </c>
      <c r="I26" s="51">
        <f>IF(Bid=0,"n/a",DGET(data,"Temp_hr19",_xlnm.Criteria))</f>
        <v>81.364050000000006</v>
      </c>
      <c r="J26" s="51">
        <f>IF(Bid=0,"n/a",DGET(data,"Pctile10_hr19",_xlnm.Criteria)/IF(Result_type="Aggregate Impact",1,Enrolled/1000))</f>
        <v>95.858630000000005</v>
      </c>
      <c r="K26" s="51">
        <f>IF(Bid=0,"n/a",DGET(data,"Pctile30_hr19",_xlnm.Criteria)/IF(Result_type="Aggregate Impact",1,Enrolled/1000))</f>
        <v>101.0322</v>
      </c>
      <c r="L26" s="51">
        <f t="shared" si="1"/>
        <v>104.61539999999999</v>
      </c>
      <c r="M26" s="51">
        <f>IF(Bid=0,"n/a",DGET(data,"Pctile70_hr19",_xlnm.Criteria)/IF(Result_type="Aggregate Impact",1,Enrolled/1000))</f>
        <v>108.1986</v>
      </c>
      <c r="N26" s="51">
        <f>IF(Bid=0,"n/a",DGET(data,"Pctile90_hr19",_xlnm.Criteria)/IF(Result_type="Aggregate Impact",1,Enrolled/1000))</f>
        <v>113.37220000000001</v>
      </c>
      <c r="S26" s="40"/>
      <c r="T26" s="40"/>
      <c r="U26" s="40"/>
      <c r="V26" s="40"/>
      <c r="W26" s="40"/>
    </row>
    <row r="27" spans="3:23" ht="16.5" x14ac:dyDescent="0.2">
      <c r="C27" s="5"/>
      <c r="D27" s="5"/>
      <c r="E27" s="36">
        <v>20</v>
      </c>
      <c r="F27" s="51">
        <f>IF(Bid=0,"n/a",DGET(data,"Ref_hr20",_xlnm.Criteria)/IF(Result_type="Aggregate Impact",1,Enrolled/1000))</f>
        <v>754.22799999999995</v>
      </c>
      <c r="G27" s="51">
        <f t="shared" si="0"/>
        <v>660.98264999999992</v>
      </c>
      <c r="H27" s="51">
        <f>IF(Bid=0,"n/a",DGET(data,"Pctile50_hr20",_xlnm.Criteria)/IF(Result_type="Aggregate Impact",1,Enrolled/1000))</f>
        <v>93.245350000000002</v>
      </c>
      <c r="I27" s="51">
        <f>IF(Bid=0,"n/a",DGET(data,"Temp_hr20",_xlnm.Criteria))</f>
        <v>78.869309999999999</v>
      </c>
      <c r="J27" s="51">
        <f>IF(Bid=0,"n/a",DGET(data,"Pctile10_hr20",_xlnm.Criteria)/IF(Result_type="Aggregate Impact",1,Enrolled/1000))</f>
        <v>84.237560000000002</v>
      </c>
      <c r="K27" s="51">
        <f>IF(Bid=0,"n/a",DGET(data,"Pctile30_hr20",_xlnm.Criteria)/IF(Result_type="Aggregate Impact",1,Enrolled/1000))</f>
        <v>89.559439999999995</v>
      </c>
      <c r="L27" s="51">
        <f t="shared" si="1"/>
        <v>93.245350000000002</v>
      </c>
      <c r="M27" s="51">
        <f>IF(Bid=0,"n/a",DGET(data,"Pctile70_hr20",_xlnm.Criteria)/IF(Result_type="Aggregate Impact",1,Enrolled/1000))</f>
        <v>96.931269999999998</v>
      </c>
      <c r="N27" s="51">
        <f>IF(Bid=0,"n/a",DGET(data,"Pctile90_hr20",_xlnm.Criteria)/IF(Result_type="Aggregate Impact",1,Enrolled/1000))</f>
        <v>102.2531</v>
      </c>
      <c r="S27" s="40"/>
      <c r="T27" s="40"/>
      <c r="U27" s="40"/>
      <c r="V27" s="40"/>
      <c r="W27" s="40"/>
    </row>
    <row r="28" spans="3:23" ht="16.5" x14ac:dyDescent="0.2">
      <c r="C28" s="5"/>
      <c r="D28" s="5"/>
      <c r="E28" s="36">
        <v>21</v>
      </c>
      <c r="F28" s="51">
        <f>IF(Bid=0,"n/a",DGET(data,"Ref_hr21",_xlnm.Criteria)/IF(Result_type="Aggregate Impact",1,Enrolled/1000))</f>
        <v>748.1001</v>
      </c>
      <c r="G28" s="51">
        <f t="shared" si="0"/>
        <v>694.40344000000005</v>
      </c>
      <c r="H28" s="51">
        <f>IF(Bid=0,"n/a",DGET(data,"Pctile50_hr21",_xlnm.Criteria)/IF(Result_type="Aggregate Impact",1,Enrolled/1000))</f>
        <v>53.696660000000001</v>
      </c>
      <c r="I28" s="51">
        <f>IF(Bid=0,"n/a",DGET(data,"Temp_hr21",_xlnm.Criteria))</f>
        <v>77.013720000000006</v>
      </c>
      <c r="J28" s="51">
        <f>IF(Bid=0,"n/a",DGET(data,"Pctile10_hr21",_xlnm.Criteria)/IF(Result_type="Aggregate Impact",1,Enrolled/1000))</f>
        <v>44.520580000000002</v>
      </c>
      <c r="K28" s="51">
        <f>IF(Bid=0,"n/a",DGET(data,"Pctile30_hr21",_xlnm.Criteria)/IF(Result_type="Aggregate Impact",1,Enrolled/1000))</f>
        <v>49.941879999999998</v>
      </c>
      <c r="L28" s="51">
        <f t="shared" si="1"/>
        <v>53.696660000000001</v>
      </c>
      <c r="M28" s="51">
        <f>IF(Bid=0,"n/a",DGET(data,"Pctile70_hr21",_xlnm.Criteria)/IF(Result_type="Aggregate Impact",1,Enrolled/1000))</f>
        <v>57.451439999999998</v>
      </c>
      <c r="N28" s="51">
        <f>IF(Bid=0,"n/a",DGET(data,"Pctile90_hr21",_xlnm.Criteria)/IF(Result_type="Aggregate Impact",1,Enrolled/1000))</f>
        <v>62.872729999999997</v>
      </c>
      <c r="S28" s="40"/>
      <c r="T28" s="40"/>
      <c r="U28" s="40"/>
      <c r="V28" s="40"/>
      <c r="W28" s="40"/>
    </row>
    <row r="29" spans="3:23" ht="16.5" x14ac:dyDescent="0.2">
      <c r="C29" s="5"/>
      <c r="D29" s="5"/>
      <c r="E29" s="36">
        <v>22</v>
      </c>
      <c r="F29" s="51">
        <f>IF(Bid=0,"n/a",DGET(data,"Ref_hr22",_xlnm.Criteria)/IF(Result_type="Aggregate Impact",1,Enrolled/1000))</f>
        <v>733.14369999999997</v>
      </c>
      <c r="G29" s="51">
        <f t="shared" si="0"/>
        <v>700.47861999999998</v>
      </c>
      <c r="H29" s="51">
        <f>IF(Bid=0,"n/a",DGET(data,"Pctile50_hr22",_xlnm.Criteria)/IF(Result_type="Aggregate Impact",1,Enrolled/1000))</f>
        <v>32.665080000000003</v>
      </c>
      <c r="I29" s="51">
        <f>IF(Bid=0,"n/a",DGET(data,"Temp_hr22",_xlnm.Criteria))</f>
        <v>75.627430000000004</v>
      </c>
      <c r="J29" s="51">
        <f>IF(Bid=0,"n/a",DGET(data,"Pctile10_hr22",_xlnm.Criteria)/IF(Result_type="Aggregate Impact",1,Enrolled/1000))</f>
        <v>23.15579</v>
      </c>
      <c r="K29" s="51">
        <f>IF(Bid=0,"n/a",DGET(data,"Pctile30_hr22",_xlnm.Criteria)/IF(Result_type="Aggregate Impact",1,Enrolled/1000))</f>
        <v>28.773959999999999</v>
      </c>
      <c r="L29" s="51">
        <f t="shared" si="1"/>
        <v>32.665080000000003</v>
      </c>
      <c r="M29" s="51">
        <f>IF(Bid=0,"n/a",DGET(data,"Pctile70_hr22",_xlnm.Criteria)/IF(Result_type="Aggregate Impact",1,Enrolled/1000))</f>
        <v>36.55621</v>
      </c>
      <c r="N29" s="51">
        <f>IF(Bid=0,"n/a",DGET(data,"Pctile90_hr22",_xlnm.Criteria)/IF(Result_type="Aggregate Impact",1,Enrolled/1000))</f>
        <v>42.174379999999999</v>
      </c>
    </row>
    <row r="30" spans="3:23" ht="16.5" x14ac:dyDescent="0.2">
      <c r="C30" s="5"/>
      <c r="D30" s="5"/>
      <c r="E30" s="36">
        <v>23</v>
      </c>
      <c r="F30" s="51">
        <f>IF(Bid=0,"n/a",DGET(data,"Ref_hr23",_xlnm.Criteria)/IF(Result_type="Aggregate Impact",1,Enrolled/1000))</f>
        <v>707.74260000000004</v>
      </c>
      <c r="G30" s="51">
        <f t="shared" si="0"/>
        <v>681.88290000000006</v>
      </c>
      <c r="H30" s="51">
        <f>IF(Bid=0,"n/a",DGET(data,"Pctile50_hr23",_xlnm.Criteria)/IF(Result_type="Aggregate Impact",1,Enrolled/1000))</f>
        <v>25.8597</v>
      </c>
      <c r="I30" s="51">
        <f>IF(Bid=0,"n/a",DGET(data,"Temp_hr23",_xlnm.Criteria))</f>
        <v>74.284049999999993</v>
      </c>
      <c r="J30" s="51">
        <f>IF(Bid=0,"n/a",DGET(data,"Pctile10_hr23",_xlnm.Criteria)/IF(Result_type="Aggregate Impact",1,Enrolled/1000))</f>
        <v>16.084060000000001</v>
      </c>
      <c r="K30" s="51">
        <f>IF(Bid=0,"n/a",DGET(data,"Pctile30_hr23",_xlnm.Criteria)/IF(Result_type="Aggregate Impact",1,Enrolled/1000))</f>
        <v>21.859590000000001</v>
      </c>
      <c r="L30" s="51">
        <f t="shared" si="1"/>
        <v>25.8597</v>
      </c>
      <c r="M30" s="51">
        <f>IF(Bid=0,"n/a",DGET(data,"Pctile70_hr23",_xlnm.Criteria)/IF(Result_type="Aggregate Impact",1,Enrolled/1000))</f>
        <v>29.85981</v>
      </c>
      <c r="N30" s="51">
        <f>IF(Bid=0,"n/a",DGET(data,"Pctile90_hr23",_xlnm.Criteria)/IF(Result_type="Aggregate Impact",1,Enrolled/1000))</f>
        <v>35.635330000000003</v>
      </c>
    </row>
    <row r="31" spans="3:23" ht="16.5" x14ac:dyDescent="0.2">
      <c r="C31" s="5"/>
      <c r="D31" s="5"/>
      <c r="E31" s="36">
        <v>24</v>
      </c>
      <c r="F31" s="51">
        <f>IF(Bid=0,"n/a",DGET(data,"Ref_hr24",_xlnm.Criteria)/IF(Result_type="Aggregate Impact",1,Enrolled/1000))</f>
        <v>675.9502</v>
      </c>
      <c r="G31" s="51">
        <f t="shared" si="0"/>
        <v>663.72753999999998</v>
      </c>
      <c r="H31" s="51">
        <f>IF(Bid=0,"n/a",DGET(data,"Pctile50_hr24",_xlnm.Criteria)/IF(Result_type="Aggregate Impact",1,Enrolled/1000))</f>
        <v>12.222659999999999</v>
      </c>
      <c r="I31" s="51">
        <f>IF(Bid=0,"n/a",DGET(data,"Temp_hr24",_xlnm.Criteria))</f>
        <v>73.063059999999993</v>
      </c>
      <c r="J31" s="51">
        <f>IF(Bid=0,"n/a",DGET(data,"Pctile10_hr24",_xlnm.Criteria)/IF(Result_type="Aggregate Impact",1,Enrolled/1000))</f>
        <v>4.3063760000000002</v>
      </c>
      <c r="K31" s="51">
        <f>IF(Bid=0,"n/a",DGET(data,"Pctile30_hr24",_xlnm.Criteria)/IF(Result_type="Aggregate Impact",1,Enrolled/1000))</f>
        <v>8.9833809999999996</v>
      </c>
      <c r="L31" s="51">
        <f t="shared" si="1"/>
        <v>12.222659999999999</v>
      </c>
      <c r="M31" s="51">
        <f>IF(Bid=0,"n/a",DGET(data,"Pctile70_hr24",_xlnm.Criteria)/IF(Result_type="Aggregate Impact",1,Enrolled/1000))</f>
        <v>15.46194</v>
      </c>
      <c r="N31" s="51">
        <f>IF(Bid=0,"n/a",DGET(data,"Pctile90_hr24",_xlnm.Criteria)/IF(Result_type="Aggregate Impact",1,Enrolled/1000))</f>
        <v>20.138940000000002</v>
      </c>
    </row>
    <row r="32" spans="3:23" ht="49.5" customHeight="1" thickBot="1" x14ac:dyDescent="0.35">
      <c r="C32" s="5"/>
      <c r="D32" s="5"/>
      <c r="E32" s="17"/>
      <c r="F32" s="76" t="str">
        <f>"Estimated Reference
Energy Use
("&amp;IF(Result_type="Aggregate Impact","MWh)","kWh)")</f>
        <v>Estimated Reference
Energy Use
(MWh)</v>
      </c>
      <c r="G32" s="76" t="str">
        <f>"Observed 
Event Day Energy Use ("&amp;IF(Result_type="Aggregate Impact","MWh)","kWh)")</f>
        <v>Observed 
Event Day Energy Use (MWh)</v>
      </c>
      <c r="H32" s="76" t="str">
        <f>"Estimated 
Change in Energy Use ("&amp;IF(Result_type="Aggregate Impact","MWh)","kWh)")</f>
        <v>Estimated 
Change in Energy Use (MWh)</v>
      </c>
      <c r="I32" s="78" t="s">
        <v>191</v>
      </c>
      <c r="J32" s="55" t="str">
        <f>"Uncertainty Adjusted Impact ("&amp;IF(Result_type="Aggregate Impact","MWh/hour) - Percentiles","kWh/hour) - Percentiles")</f>
        <v>Uncertainty Adjusted Impact (MWh/hour) - Percentiles</v>
      </c>
      <c r="K32" s="55"/>
      <c r="L32" s="55"/>
      <c r="M32" s="55"/>
      <c r="N32" s="56"/>
    </row>
    <row r="33" spans="3:14" ht="16.5" x14ac:dyDescent="0.3">
      <c r="C33" s="5"/>
      <c r="D33" s="5"/>
      <c r="E33" s="60" t="s">
        <v>214</v>
      </c>
      <c r="F33" s="77"/>
      <c r="G33" s="77"/>
      <c r="H33" s="77"/>
      <c r="I33" s="77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4" ht="17.25" thickBot="1" x14ac:dyDescent="0.35">
      <c r="C34" s="5"/>
      <c r="D34" s="5"/>
      <c r="E34" s="20" t="s">
        <v>16</v>
      </c>
      <c r="F34" s="21">
        <f>IF(Bid=0,"n/a",SUM(F8:F31))</f>
        <v>18107.410900000003</v>
      </c>
      <c r="G34" s="22">
        <f>IF(Bid=0,"n/a",SUM(G8:G31))</f>
        <v>16969.907347000004</v>
      </c>
      <c r="H34" s="22">
        <f>IF(Bid=0,"n/a",SUM(H8:H31))</f>
        <v>1137.503553</v>
      </c>
      <c r="I34" s="23">
        <f>IF(Bid=0,"n/a",SUM(Lookups!B32:B55))</f>
        <v>111.56184000000002</v>
      </c>
      <c r="J34" s="23" t="s">
        <v>17</v>
      </c>
      <c r="K34" s="23" t="s">
        <v>17</v>
      </c>
      <c r="L34" s="23" t="s">
        <v>17</v>
      </c>
      <c r="M34" s="23" t="s">
        <v>17</v>
      </c>
      <c r="N34" s="64" t="s">
        <v>17</v>
      </c>
    </row>
    <row r="35" spans="3:14" ht="17.25" thickBot="1" x14ac:dyDescent="0.35">
      <c r="E35" s="20" t="s">
        <v>213</v>
      </c>
      <c r="F35" s="63">
        <f>IF(Bid=0,"n/a",Lookups!D56)</f>
        <v>813.58031249999988</v>
      </c>
      <c r="G35" s="23">
        <f>IF(Bid=0,"n/a",Lookups!E56)</f>
        <v>706.87178124999991</v>
      </c>
      <c r="H35" s="23">
        <f>IF(Bid=0,"n/a",Lookups!F56)</f>
        <v>106.70853124999999</v>
      </c>
      <c r="I35" s="23">
        <f>IF(Bid=0,"n/a",Lookups!G56)</f>
        <v>83.812820000000002</v>
      </c>
      <c r="J35" s="23">
        <f>Lookups!R17</f>
        <v>102.44808227413151</v>
      </c>
      <c r="K35" s="23">
        <f>Lookups!S17</f>
        <v>104.9651900631298</v>
      </c>
      <c r="L35" s="23">
        <f>Lookups!T17</f>
        <v>106.70853124999999</v>
      </c>
      <c r="M35" s="23">
        <f>Lookups!U17</f>
        <v>108.45187243687019</v>
      </c>
      <c r="N35" s="64">
        <f>Lookups!V17</f>
        <v>110.96898022586848</v>
      </c>
    </row>
    <row r="36" spans="3:14" ht="15" x14ac:dyDescent="0.25">
      <c r="E36" s="24"/>
      <c r="F36" s="40"/>
      <c r="G36" s="72" t="s">
        <v>238</v>
      </c>
      <c r="H36" s="73">
        <f>IF(Bid=0,"n/a",H35/F35)</f>
        <v>0.13115918565200041</v>
      </c>
      <c r="I36" s="40"/>
    </row>
    <row r="37" spans="3:14" x14ac:dyDescent="0.2">
      <c r="E37" s="24"/>
      <c r="F37" s="40"/>
      <c r="G37" s="40"/>
      <c r="H37" s="40"/>
      <c r="I37" s="41"/>
    </row>
    <row r="38" spans="3:14" x14ac:dyDescent="0.2">
      <c r="E38" s="24"/>
      <c r="F38" s="40"/>
      <c r="G38" s="40"/>
      <c r="H38" s="40"/>
      <c r="I38" s="40"/>
    </row>
    <row r="39" spans="3:14" x14ac:dyDescent="0.2">
      <c r="F39" s="40"/>
    </row>
    <row r="40" spans="3:14" x14ac:dyDescent="0.2">
      <c r="E40" s="24"/>
      <c r="F40" s="74"/>
      <c r="G40" s="40"/>
      <c r="H40" s="40"/>
      <c r="I40" s="41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3" priority="41" stopIfTrue="1">
      <formula>$A$1&lt;&gt;""</formula>
    </cfRule>
  </conditionalFormatting>
  <conditionalFormatting sqref="C2">
    <cfRule type="expression" dxfId="2" priority="33">
      <formula>size_lca_flag=1</formula>
    </cfRule>
  </conditionalFormatting>
  <conditionalFormatting sqref="C1">
    <cfRule type="expression" dxfId="1" priority="22" stopIfTrue="1">
      <formula>$A$1&lt;&gt;""</formula>
    </cfRule>
  </conditionalFormatting>
  <dataValidations count="4">
    <dataValidation type="list" allowBlank="1" showInputMessage="1" showErrorMessage="1" sqref="B8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11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609E01C-C478-4F14-A9A0-A2F09152C0BA}">
            <xm:f>AND($E8&gt;=VLOOKUP(date,Lookups!$B$11:$D$18,3,FALSE),$E8&lt;=VLOOKUP(date,Lookups!$B$11:$E$18,4,FALSE))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J1" workbookViewId="0">
      <selection activeCell="V17" sqref="V17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13.42578125" bestFit="1" customWidth="1"/>
  </cols>
  <sheetData>
    <row r="1" spans="1:22" x14ac:dyDescent="0.2">
      <c r="G1" s="1"/>
      <c r="H1" s="1"/>
    </row>
    <row r="3" spans="1:22" ht="15" x14ac:dyDescent="0.25">
      <c r="A3" s="27"/>
      <c r="B3" s="25" t="s">
        <v>204</v>
      </c>
      <c r="C3" s="25"/>
      <c r="D3" s="25" t="s">
        <v>0</v>
      </c>
      <c r="E3" s="25"/>
      <c r="G3" s="67"/>
      <c r="J3" s="2" t="s">
        <v>207</v>
      </c>
      <c r="K3" s="11" t="s">
        <v>204</v>
      </c>
      <c r="L3" s="11" t="s">
        <v>205</v>
      </c>
      <c r="M3" s="11" t="s">
        <v>0</v>
      </c>
      <c r="N3" s="11" t="s">
        <v>206</v>
      </c>
      <c r="S3" s="75" t="s">
        <v>240</v>
      </c>
    </row>
    <row r="4" spans="1:22" x14ac:dyDescent="0.2">
      <c r="A4" s="29"/>
      <c r="B4" t="str">
        <f>date</f>
        <v>Typical Event Day</v>
      </c>
      <c r="C4" s="26"/>
      <c r="D4" s="5" t="str">
        <f>lca</f>
        <v>All</v>
      </c>
      <c r="E4" s="5"/>
      <c r="G4" s="68"/>
      <c r="J4" t="s">
        <v>3</v>
      </c>
      <c r="K4" s="66">
        <v>41834</v>
      </c>
      <c r="L4" t="s">
        <v>1</v>
      </c>
      <c r="M4" t="s">
        <v>1</v>
      </c>
      <c r="N4" s="42" t="s">
        <v>1</v>
      </c>
      <c r="R4" s="66">
        <v>41834</v>
      </c>
      <c r="S4">
        <v>3.3188569999999999</v>
      </c>
    </row>
    <row r="5" spans="1:22" ht="13.5" x14ac:dyDescent="0.25">
      <c r="A5" s="27"/>
      <c r="B5" s="27"/>
      <c r="C5" s="27"/>
      <c r="D5" s="27"/>
      <c r="E5" s="27"/>
      <c r="F5" s="27"/>
      <c r="G5" s="28"/>
      <c r="H5" s="28"/>
      <c r="J5" s="1" t="s">
        <v>208</v>
      </c>
      <c r="K5" s="66">
        <v>41890</v>
      </c>
      <c r="L5" t="s">
        <v>193</v>
      </c>
      <c r="M5" t="s">
        <v>234</v>
      </c>
      <c r="N5" s="42" t="s">
        <v>201</v>
      </c>
      <c r="R5" s="66">
        <v>41890</v>
      </c>
      <c r="S5">
        <v>3.0254439999999998</v>
      </c>
    </row>
    <row r="6" spans="1:22" x14ac:dyDescent="0.2">
      <c r="A6" s="29"/>
      <c r="B6" s="29"/>
      <c r="C6" s="71" t="s">
        <v>233</v>
      </c>
      <c r="D6" s="30">
        <f>DGET(data,"enrolled",_xlnm.Criteria)</f>
        <v>943.57140000000004</v>
      </c>
      <c r="E6" s="29"/>
      <c r="F6" s="30"/>
      <c r="G6" s="30"/>
      <c r="H6" s="30"/>
      <c r="K6" s="66">
        <v>41892</v>
      </c>
      <c r="L6" t="s">
        <v>194</v>
      </c>
      <c r="M6" t="s">
        <v>235</v>
      </c>
      <c r="N6" s="42" t="s">
        <v>202</v>
      </c>
      <c r="R6" s="66">
        <v>41892</v>
      </c>
      <c r="S6">
        <v>2.2955640000000002</v>
      </c>
    </row>
    <row r="7" spans="1:22" ht="13.5" x14ac:dyDescent="0.25">
      <c r="A7" s="27"/>
      <c r="C7" s="42" t="s">
        <v>209</v>
      </c>
      <c r="D7">
        <f>IF(COUNTIF(Table!B7:B9,"All")&lt;1,1,0)</f>
        <v>0</v>
      </c>
      <c r="K7" s="66">
        <v>41897</v>
      </c>
      <c r="L7" t="s">
        <v>195</v>
      </c>
      <c r="M7" t="s">
        <v>236</v>
      </c>
      <c r="N7" s="43"/>
      <c r="R7" s="66">
        <v>41897</v>
      </c>
      <c r="S7">
        <v>4.2774260000000002</v>
      </c>
    </row>
    <row r="8" spans="1:22" ht="13.5" x14ac:dyDescent="0.25">
      <c r="A8" s="28"/>
      <c r="C8" s="42" t="s">
        <v>239</v>
      </c>
      <c r="D8">
        <f>DGET(data,"bid",_xlnm.Criteria)</f>
        <v>519.71429999999998</v>
      </c>
      <c r="K8" s="66">
        <v>41899</v>
      </c>
      <c r="L8" t="s">
        <v>196</v>
      </c>
      <c r="N8" s="34"/>
      <c r="R8" s="66">
        <v>41899</v>
      </c>
      <c r="S8">
        <v>3.6782710000000001</v>
      </c>
    </row>
    <row r="9" spans="1:22" x14ac:dyDescent="0.2">
      <c r="K9" s="66">
        <v>41914</v>
      </c>
      <c r="L9" t="s">
        <v>197</v>
      </c>
      <c r="N9" s="34"/>
      <c r="R9" s="66">
        <v>41914</v>
      </c>
      <c r="S9">
        <v>2.560403</v>
      </c>
    </row>
    <row r="10" spans="1:22" x14ac:dyDescent="0.2">
      <c r="B10" t="s">
        <v>203</v>
      </c>
      <c r="C10" t="s">
        <v>210</v>
      </c>
      <c r="D10" t="s">
        <v>211</v>
      </c>
      <c r="E10" t="s">
        <v>212</v>
      </c>
      <c r="K10" s="66">
        <v>41918</v>
      </c>
      <c r="L10" t="s">
        <v>198</v>
      </c>
      <c r="N10" s="34"/>
      <c r="R10" s="66">
        <v>41918</v>
      </c>
      <c r="S10">
        <v>2.8338519999999998</v>
      </c>
    </row>
    <row r="11" spans="1:22" x14ac:dyDescent="0.2">
      <c r="B11" s="66">
        <v>41834</v>
      </c>
      <c r="D11">
        <v>13</v>
      </c>
      <c r="E11">
        <v>20</v>
      </c>
      <c r="F11" t="str">
        <f t="shared" ref="F11:F16" si="0">"Hours Ending "&amp;D11&amp;" to "&amp;E11</f>
        <v>Hours Ending 13 to 20</v>
      </c>
      <c r="K11" s="66" t="s">
        <v>2</v>
      </c>
      <c r="L11" t="s">
        <v>199</v>
      </c>
      <c r="N11" s="34"/>
      <c r="R11" s="66" t="s">
        <v>2</v>
      </c>
      <c r="S11">
        <v>3.324446</v>
      </c>
    </row>
    <row r="12" spans="1:22" x14ac:dyDescent="0.2">
      <c r="B12" s="66">
        <v>41890</v>
      </c>
      <c r="D12">
        <v>13</v>
      </c>
      <c r="E12">
        <v>20</v>
      </c>
      <c r="F12" t="str">
        <f t="shared" si="0"/>
        <v>Hours Ending 13 to 20</v>
      </c>
    </row>
    <row r="13" spans="1:22" x14ac:dyDescent="0.2">
      <c r="B13" s="66">
        <v>41892</v>
      </c>
      <c r="D13">
        <v>13</v>
      </c>
      <c r="E13">
        <v>20</v>
      </c>
      <c r="F13" t="str">
        <f t="shared" si="0"/>
        <v>Hours Ending 13 to 20</v>
      </c>
      <c r="R13" s="42" t="s">
        <v>241</v>
      </c>
      <c r="S13">
        <f>VLOOKUP(date,Lookups!$R$4:$S$11,2,FALSE)/IF(Result_type="Aggregate Impact",1,Enrolled/1000)</f>
        <v>3.324446</v>
      </c>
    </row>
    <row r="14" spans="1:22" x14ac:dyDescent="0.2">
      <c r="B14" s="66">
        <v>41897</v>
      </c>
      <c r="D14">
        <v>13</v>
      </c>
      <c r="E14">
        <v>20</v>
      </c>
      <c r="F14" t="str">
        <f t="shared" si="0"/>
        <v>Hours Ending 13 to 20</v>
      </c>
      <c r="R14" s="42" t="s">
        <v>242</v>
      </c>
      <c r="S14">
        <f>IF(AND(lca="All"),1,0)</f>
        <v>1</v>
      </c>
    </row>
    <row r="15" spans="1:22" x14ac:dyDescent="0.2">
      <c r="B15" s="66">
        <v>41899</v>
      </c>
      <c r="D15">
        <v>13</v>
      </c>
      <c r="E15">
        <v>20</v>
      </c>
      <c r="F15" t="str">
        <f t="shared" si="0"/>
        <v>Hours Ending 13 to 20</v>
      </c>
    </row>
    <row r="16" spans="1:22" x14ac:dyDescent="0.2">
      <c r="B16" s="66">
        <v>41914</v>
      </c>
      <c r="D16">
        <v>13</v>
      </c>
      <c r="E16">
        <v>20</v>
      </c>
      <c r="F16" t="str">
        <f t="shared" si="0"/>
        <v>Hours Ending 13 to 20</v>
      </c>
      <c r="R16">
        <v>0.1</v>
      </c>
      <c r="S16">
        <v>0.3</v>
      </c>
      <c r="T16">
        <v>0.5</v>
      </c>
      <c r="U16">
        <v>0.7</v>
      </c>
      <c r="V16">
        <v>0.9</v>
      </c>
    </row>
    <row r="17" spans="1:22" x14ac:dyDescent="0.2">
      <c r="B17" s="66">
        <v>41918</v>
      </c>
      <c r="D17">
        <v>13</v>
      </c>
      <c r="E17">
        <v>20</v>
      </c>
      <c r="F17" t="str">
        <f t="shared" ref="F17:F18" si="1">"Hours Ending "&amp;D17&amp;" to "&amp;E17</f>
        <v>Hours Ending 13 to 20</v>
      </c>
      <c r="R17">
        <f>IF($S$14=0,"n/a",NORMINV(R16,Table!$H$35,Lookups!$S$13))</f>
        <v>102.44808227413151</v>
      </c>
      <c r="S17">
        <f>IF($S$14=0,"n/a",NORMINV(S16,Table!$H$35,Lookups!$S$13))</f>
        <v>104.9651900631298</v>
      </c>
      <c r="T17">
        <f>IF($S$14=0,"n/a",NORMINV(T16,Table!$H$35,Lookups!$S$13))</f>
        <v>106.70853124999999</v>
      </c>
      <c r="U17">
        <f>IF($S$14=0,"n/a",NORMINV(U16,Table!$H$35,Lookups!$S$13))</f>
        <v>108.45187243687019</v>
      </c>
      <c r="V17">
        <f>IF($S$14=0,"n/a",NORMINV(V16,Table!$H$35,Lookups!$S$13))</f>
        <v>110.96898022586848</v>
      </c>
    </row>
    <row r="18" spans="1:22" x14ac:dyDescent="0.2">
      <c r="B18" s="66" t="s">
        <v>2</v>
      </c>
      <c r="D18">
        <v>13</v>
      </c>
      <c r="E18">
        <v>20</v>
      </c>
      <c r="F18" t="str">
        <f t="shared" si="1"/>
        <v>Hours Ending 13 to 20</v>
      </c>
    </row>
    <row r="19" spans="1:22" x14ac:dyDescent="0.2">
      <c r="A19" t="str">
        <f t="shared" ref="A19:A24" si="2">B19&amp;C19</f>
        <v/>
      </c>
      <c r="B19" s="58"/>
      <c r="O19" s="34"/>
    </row>
    <row r="20" spans="1:22" x14ac:dyDescent="0.2">
      <c r="A20" t="str">
        <f t="shared" si="2"/>
        <v/>
      </c>
      <c r="B20" s="58"/>
      <c r="O20" s="34"/>
    </row>
    <row r="21" spans="1:22" x14ac:dyDescent="0.2">
      <c r="A21" t="str">
        <f t="shared" si="2"/>
        <v/>
      </c>
      <c r="B21" s="58"/>
      <c r="O21" s="34"/>
    </row>
    <row r="22" spans="1:22" x14ac:dyDescent="0.2">
      <c r="A22" t="str">
        <f t="shared" si="2"/>
        <v/>
      </c>
      <c r="B22" s="58"/>
      <c r="O22" s="34"/>
    </row>
    <row r="23" spans="1:22" x14ac:dyDescent="0.2">
      <c r="A23" t="str">
        <f t="shared" si="2"/>
        <v/>
      </c>
      <c r="B23" s="58"/>
      <c r="O23" s="34"/>
    </row>
    <row r="24" spans="1:22" x14ac:dyDescent="0.2">
      <c r="A24" t="str">
        <f t="shared" si="2"/>
        <v/>
      </c>
      <c r="B24" s="58"/>
      <c r="O24" s="34"/>
    </row>
    <row r="25" spans="1:22" x14ac:dyDescent="0.2">
      <c r="A25" t="str">
        <f>B25&amp;C25</f>
        <v/>
      </c>
      <c r="B25" s="59"/>
      <c r="O25" s="34"/>
    </row>
    <row r="26" spans="1:22" x14ac:dyDescent="0.2">
      <c r="A26" t="str">
        <f>B26&amp;C26</f>
        <v/>
      </c>
      <c r="B26" s="59"/>
    </row>
    <row r="27" spans="1:22" x14ac:dyDescent="0.2">
      <c r="A27" t="str">
        <f>B27&amp;C27</f>
        <v/>
      </c>
      <c r="B27" s="59"/>
    </row>
    <row r="28" spans="1:22" x14ac:dyDescent="0.2">
      <c r="A28" s="6"/>
      <c r="B28" s="6"/>
      <c r="C28" s="6"/>
      <c r="D28" s="6"/>
      <c r="E28" s="6"/>
      <c r="F28" s="6"/>
    </row>
    <row r="29" spans="1:22" x14ac:dyDescent="0.2">
      <c r="A29" s="6"/>
      <c r="B29" s="6"/>
      <c r="C29" s="6"/>
      <c r="D29" s="6"/>
      <c r="E29" s="6"/>
      <c r="F29" s="6"/>
    </row>
    <row r="30" spans="1:22" x14ac:dyDescent="0.2">
      <c r="A30" s="6"/>
      <c r="B30" s="6"/>
      <c r="C30" s="6"/>
      <c r="D30" s="6"/>
      <c r="E30" s="6"/>
      <c r="F30" s="6"/>
    </row>
    <row r="31" spans="1:22" x14ac:dyDescent="0.2">
      <c r="B31" s="48" t="s">
        <v>192</v>
      </c>
      <c r="C31" s="42" t="s">
        <v>226</v>
      </c>
      <c r="D31" s="42" t="s">
        <v>216</v>
      </c>
      <c r="E31" s="42" t="s">
        <v>217</v>
      </c>
      <c r="F31" s="42" t="s">
        <v>218</v>
      </c>
      <c r="G31" s="42" t="s">
        <v>224</v>
      </c>
      <c r="H31" s="42" t="s">
        <v>219</v>
      </c>
      <c r="I31" s="42" t="s">
        <v>220</v>
      </c>
      <c r="J31" s="42" t="s">
        <v>221</v>
      </c>
      <c r="K31" s="42" t="s">
        <v>222</v>
      </c>
      <c r="L31" s="42" t="s">
        <v>223</v>
      </c>
      <c r="M31" s="42" t="s">
        <v>227</v>
      </c>
    </row>
    <row r="32" spans="1:22" x14ac:dyDescent="0.2">
      <c r="A32">
        <v>1</v>
      </c>
      <c r="B32" s="49">
        <f>MAX(0,Table!I8-75)</f>
        <v>0</v>
      </c>
      <c r="C32" t="str">
        <f t="shared" ref="C32:C55" si="3">IF(AND(A32&gt;=VLOOKUP(date,$B$11:$D$27,3,FALSE),A32&lt;=VLOOKUP(date,$B$11:$E$27,4,FALSE)),1,"")</f>
        <v/>
      </c>
      <c r="D32" s="6" t="str">
        <f>IF($C32=1,Table!F8,"")</f>
        <v/>
      </c>
      <c r="E32" s="6" t="str">
        <f>IF($C32=1,Table!G8,"")</f>
        <v/>
      </c>
      <c r="F32" s="6" t="str">
        <f>IF($C32=1,Table!H8,"")</f>
        <v/>
      </c>
      <c r="G32" s="6" t="str">
        <f>IF($C32=1,B32,"")</f>
        <v/>
      </c>
      <c r="H32" s="6" t="str">
        <f>IF($C32=1,Table!J8,"")</f>
        <v/>
      </c>
      <c r="I32" s="6" t="str">
        <f>IF($C32=1,Table!K8,"")</f>
        <v/>
      </c>
      <c r="J32" s="6" t="str">
        <f>IF($C32=1,Table!L8,"")</f>
        <v/>
      </c>
      <c r="K32" s="6" t="str">
        <f>IF($C32=1,Table!M8,"")</f>
        <v/>
      </c>
      <c r="L32" s="6" t="str">
        <f>IF($C32=1,Table!N8,"")</f>
        <v/>
      </c>
      <c r="M32" s="40" t="str">
        <f>IF(C32=1,((Table!K8-Table!L8)/NORMSINV(0.3))^2,"")</f>
        <v/>
      </c>
    </row>
    <row r="33" spans="1:13" x14ac:dyDescent="0.2">
      <c r="A33">
        <f>A32+1</f>
        <v>2</v>
      </c>
      <c r="B33" s="49">
        <f>MAX(0,Table!I9-75)</f>
        <v>0</v>
      </c>
      <c r="C33" t="str">
        <f t="shared" si="3"/>
        <v/>
      </c>
      <c r="D33" s="6" t="str">
        <f>IF($C33=1,Table!F9,"")</f>
        <v/>
      </c>
      <c r="E33" s="6" t="str">
        <f>IF($C33=1,Table!G9,"")</f>
        <v/>
      </c>
      <c r="F33" s="6" t="str">
        <f>IF($C33=1,Table!H9,"")</f>
        <v/>
      </c>
      <c r="G33" s="6" t="str">
        <f t="shared" ref="G33:G55" si="4">IF($C33=1,B33,"")</f>
        <v/>
      </c>
      <c r="H33" s="6" t="str">
        <f>IF($C33=1,Table!J9,"")</f>
        <v/>
      </c>
      <c r="I33" s="6" t="str">
        <f>IF($C33=1,Table!K9,"")</f>
        <v/>
      </c>
      <c r="J33" s="6" t="str">
        <f>IF($C33=1,Table!L9,"")</f>
        <v/>
      </c>
      <c r="K33" s="6" t="str">
        <f>IF($C33=1,Table!M9,"")</f>
        <v/>
      </c>
      <c r="L33" s="6" t="str">
        <f>IF($C33=1,Table!N9,"")</f>
        <v/>
      </c>
      <c r="M33" s="40" t="str">
        <f>IF(C33=1,((Table!K9-Table!L9)/NORMSINV(0.3))^2,"")</f>
        <v/>
      </c>
    </row>
    <row r="34" spans="1:13" x14ac:dyDescent="0.2">
      <c r="A34">
        <f t="shared" ref="A34:A55" si="5">A33+1</f>
        <v>3</v>
      </c>
      <c r="B34" s="49">
        <f>MAX(0,Table!I10-75)</f>
        <v>0</v>
      </c>
      <c r="C34" t="str">
        <f t="shared" si="3"/>
        <v/>
      </c>
      <c r="D34" s="6" t="str">
        <f>IF($C34=1,Table!F10,"")</f>
        <v/>
      </c>
      <c r="E34" s="6" t="str">
        <f>IF($C34=1,Table!G10,"")</f>
        <v/>
      </c>
      <c r="F34" s="6" t="str">
        <f>IF($C34=1,Table!H10,"")</f>
        <v/>
      </c>
      <c r="G34" s="6" t="str">
        <f t="shared" si="4"/>
        <v/>
      </c>
      <c r="H34" s="6" t="str">
        <f>IF($C34=1,Table!J10,"")</f>
        <v/>
      </c>
      <c r="I34" s="6" t="str">
        <f>IF($C34=1,Table!K10,"")</f>
        <v/>
      </c>
      <c r="J34" s="6" t="str">
        <f>IF($C34=1,Table!L10,"")</f>
        <v/>
      </c>
      <c r="K34" s="6" t="str">
        <f>IF($C34=1,Table!M10,"")</f>
        <v/>
      </c>
      <c r="L34" s="6" t="str">
        <f>IF($C34=1,Table!N10,"")</f>
        <v/>
      </c>
      <c r="M34" s="40" t="str">
        <f>IF(C34=1,((Table!K10-Table!L10)/NORMSINV(0.3))^2,"")</f>
        <v/>
      </c>
    </row>
    <row r="35" spans="1:13" x14ac:dyDescent="0.2">
      <c r="A35">
        <f t="shared" si="5"/>
        <v>4</v>
      </c>
      <c r="B35" s="49">
        <f>MAX(0,Table!I11-75)</f>
        <v>0</v>
      </c>
      <c r="C35" t="str">
        <f t="shared" si="3"/>
        <v/>
      </c>
      <c r="D35" s="6" t="str">
        <f>IF($C35=1,Table!F11,"")</f>
        <v/>
      </c>
      <c r="E35" s="6" t="str">
        <f>IF($C35=1,Table!G11,"")</f>
        <v/>
      </c>
      <c r="F35" s="6" t="str">
        <f>IF($C35=1,Table!H11,"")</f>
        <v/>
      </c>
      <c r="G35" s="6" t="str">
        <f t="shared" si="4"/>
        <v/>
      </c>
      <c r="H35" s="6" t="str">
        <f>IF($C35=1,Table!J11,"")</f>
        <v/>
      </c>
      <c r="I35" s="6" t="str">
        <f>IF($C35=1,Table!K11,"")</f>
        <v/>
      </c>
      <c r="J35" s="6" t="str">
        <f>IF($C35=1,Table!L11,"")</f>
        <v/>
      </c>
      <c r="K35" s="6" t="str">
        <f>IF($C35=1,Table!M11,"")</f>
        <v/>
      </c>
      <c r="L35" s="6" t="str">
        <f>IF($C35=1,Table!N11,"")</f>
        <v/>
      </c>
      <c r="M35" s="40" t="str">
        <f>IF(C35=1,((Table!K11-Table!L11)/NORMSINV(0.3))^2,"")</f>
        <v/>
      </c>
    </row>
    <row r="36" spans="1:13" x14ac:dyDescent="0.2">
      <c r="A36">
        <f t="shared" si="5"/>
        <v>5</v>
      </c>
      <c r="B36" s="49">
        <f>MAX(0,Table!I12-75)</f>
        <v>0</v>
      </c>
      <c r="C36" t="str">
        <f t="shared" si="3"/>
        <v/>
      </c>
      <c r="D36" s="6" t="str">
        <f>IF($C36=1,Table!F12,"")</f>
        <v/>
      </c>
      <c r="E36" s="6" t="str">
        <f>IF($C36=1,Table!G12,"")</f>
        <v/>
      </c>
      <c r="F36" s="6" t="str">
        <f>IF($C36=1,Table!H12,"")</f>
        <v/>
      </c>
      <c r="G36" s="6" t="str">
        <f t="shared" si="4"/>
        <v/>
      </c>
      <c r="H36" s="6" t="str">
        <f>IF($C36=1,Table!J12,"")</f>
        <v/>
      </c>
      <c r="I36" s="6" t="str">
        <f>IF($C36=1,Table!K12,"")</f>
        <v/>
      </c>
      <c r="J36" s="6" t="str">
        <f>IF($C36=1,Table!L12,"")</f>
        <v/>
      </c>
      <c r="K36" s="6" t="str">
        <f>IF($C36=1,Table!M12,"")</f>
        <v/>
      </c>
      <c r="L36" s="6" t="str">
        <f>IF($C36=1,Table!N12,"")</f>
        <v/>
      </c>
      <c r="M36" s="40" t="str">
        <f>IF(C36=1,((Table!K12-Table!L12)/NORMSINV(0.3))^2,"")</f>
        <v/>
      </c>
    </row>
    <row r="37" spans="1:13" x14ac:dyDescent="0.2">
      <c r="A37">
        <f t="shared" si="5"/>
        <v>6</v>
      </c>
      <c r="B37" s="49">
        <f>MAX(0,Table!I13-75)</f>
        <v>0</v>
      </c>
      <c r="C37" t="str">
        <f t="shared" si="3"/>
        <v/>
      </c>
      <c r="D37" s="6" t="str">
        <f>IF($C37=1,Table!F13,"")</f>
        <v/>
      </c>
      <c r="E37" s="6" t="str">
        <f>IF($C37=1,Table!G13,"")</f>
        <v/>
      </c>
      <c r="F37" s="6" t="str">
        <f>IF($C37=1,Table!H13,"")</f>
        <v/>
      </c>
      <c r="G37" s="6" t="str">
        <f t="shared" si="4"/>
        <v/>
      </c>
      <c r="H37" s="6" t="str">
        <f>IF($C37=1,Table!J13,"")</f>
        <v/>
      </c>
      <c r="I37" s="6" t="str">
        <f>IF($C37=1,Table!K13,"")</f>
        <v/>
      </c>
      <c r="J37" s="6" t="str">
        <f>IF($C37=1,Table!L13,"")</f>
        <v/>
      </c>
      <c r="K37" s="6" t="str">
        <f>IF($C37=1,Table!M13,"")</f>
        <v/>
      </c>
      <c r="L37" s="6" t="str">
        <f>IF($C37=1,Table!N13,"")</f>
        <v/>
      </c>
      <c r="M37" s="40" t="str">
        <f>IF(C37=1,((Table!K13-Table!L13)/NORMSINV(0.3))^2,"")</f>
        <v/>
      </c>
    </row>
    <row r="38" spans="1:13" x14ac:dyDescent="0.2">
      <c r="A38">
        <f t="shared" si="5"/>
        <v>7</v>
      </c>
      <c r="B38" s="49">
        <f>MAX(0,Table!I14-75)</f>
        <v>0</v>
      </c>
      <c r="C38" t="str">
        <f t="shared" si="3"/>
        <v/>
      </c>
      <c r="D38" s="6" t="str">
        <f>IF($C38=1,Table!F14,"")</f>
        <v/>
      </c>
      <c r="E38" s="6" t="str">
        <f>IF($C38=1,Table!G14,"")</f>
        <v/>
      </c>
      <c r="F38" s="6" t="str">
        <f>IF($C38=1,Table!H14,"")</f>
        <v/>
      </c>
      <c r="G38" s="6" t="str">
        <f t="shared" si="4"/>
        <v/>
      </c>
      <c r="H38" s="6" t="str">
        <f>IF($C38=1,Table!J14,"")</f>
        <v/>
      </c>
      <c r="I38" s="6" t="str">
        <f>IF($C38=1,Table!K14,"")</f>
        <v/>
      </c>
      <c r="J38" s="6" t="str">
        <f>IF($C38=1,Table!L14,"")</f>
        <v/>
      </c>
      <c r="K38" s="6" t="str">
        <f>IF($C38=1,Table!M14,"")</f>
        <v/>
      </c>
      <c r="L38" s="6" t="str">
        <f>IF($C38=1,Table!N14,"")</f>
        <v/>
      </c>
      <c r="M38" s="40" t="str">
        <f>IF(C38=1,((Table!K14-Table!L14)/NORMSINV(0.3))^2,"")</f>
        <v/>
      </c>
    </row>
    <row r="39" spans="1:13" x14ac:dyDescent="0.2">
      <c r="A39">
        <f t="shared" si="5"/>
        <v>8</v>
      </c>
      <c r="B39" s="49">
        <f>MAX(0,Table!I15-75)</f>
        <v>0</v>
      </c>
      <c r="C39" t="str">
        <f t="shared" si="3"/>
        <v/>
      </c>
      <c r="D39" s="6" t="str">
        <f>IF($C39=1,Table!F15,"")</f>
        <v/>
      </c>
      <c r="E39" s="6" t="str">
        <f>IF($C39=1,Table!G15,"")</f>
        <v/>
      </c>
      <c r="F39" s="6" t="str">
        <f>IF($C39=1,Table!H15,"")</f>
        <v/>
      </c>
      <c r="G39" s="6" t="str">
        <f t="shared" si="4"/>
        <v/>
      </c>
      <c r="H39" s="6" t="str">
        <f>IF($C39=1,Table!J15,"")</f>
        <v/>
      </c>
      <c r="I39" s="6" t="str">
        <f>IF($C39=1,Table!K15,"")</f>
        <v/>
      </c>
      <c r="J39" s="6" t="str">
        <f>IF($C39=1,Table!L15,"")</f>
        <v/>
      </c>
      <c r="K39" s="6" t="str">
        <f>IF($C39=1,Table!M15,"")</f>
        <v/>
      </c>
      <c r="L39" s="6" t="str">
        <f>IF($C39=1,Table!N15,"")</f>
        <v/>
      </c>
      <c r="M39" s="40" t="str">
        <f>IF(C39=1,((Table!K15-Table!L15)/NORMSINV(0.3))^2,"")</f>
        <v/>
      </c>
    </row>
    <row r="40" spans="1:13" x14ac:dyDescent="0.2">
      <c r="A40">
        <f t="shared" si="5"/>
        <v>9</v>
      </c>
      <c r="B40" s="49">
        <f>MAX(0,Table!I16-75)</f>
        <v>1.721500000000006</v>
      </c>
      <c r="C40" t="str">
        <f t="shared" si="3"/>
        <v/>
      </c>
      <c r="D40" s="6" t="str">
        <f>IF($C40=1,Table!F16,"")</f>
        <v/>
      </c>
      <c r="E40" s="6" t="str">
        <f>IF($C40=1,Table!G16,"")</f>
        <v/>
      </c>
      <c r="F40" s="6" t="str">
        <f>IF($C40=1,Table!H16,"")</f>
        <v/>
      </c>
      <c r="G40" s="6" t="str">
        <f t="shared" si="4"/>
        <v/>
      </c>
      <c r="H40" s="6" t="str">
        <f>IF($C40=1,Table!J16,"")</f>
        <v/>
      </c>
      <c r="I40" s="6" t="str">
        <f>IF($C40=1,Table!K16,"")</f>
        <v/>
      </c>
      <c r="J40" s="6" t="str">
        <f>IF($C40=1,Table!L16,"")</f>
        <v/>
      </c>
      <c r="K40" s="6" t="str">
        <f>IF($C40=1,Table!M16,"")</f>
        <v/>
      </c>
      <c r="L40" s="6" t="str">
        <f>IF($C40=1,Table!N16,"")</f>
        <v/>
      </c>
      <c r="M40" s="40" t="str">
        <f>IF(C40=1,((Table!K16-Table!L16)/NORMSINV(0.3))^2,"")</f>
        <v/>
      </c>
    </row>
    <row r="41" spans="1:13" x14ac:dyDescent="0.2">
      <c r="A41">
        <f t="shared" si="5"/>
        <v>10</v>
      </c>
      <c r="B41" s="49">
        <f>MAX(0,Table!I17-75)</f>
        <v>5.0548799999999972</v>
      </c>
      <c r="C41" t="str">
        <f t="shared" si="3"/>
        <v/>
      </c>
      <c r="D41" s="6" t="str">
        <f>IF($C41=1,Table!F17,"")</f>
        <v/>
      </c>
      <c r="E41" s="6" t="str">
        <f>IF($C41=1,Table!G17,"")</f>
        <v/>
      </c>
      <c r="F41" s="6" t="str">
        <f>IF($C41=1,Table!H17,"")</f>
        <v/>
      </c>
      <c r="G41" s="6" t="str">
        <f t="shared" si="4"/>
        <v/>
      </c>
      <c r="H41" s="6" t="str">
        <f>IF($C41=1,Table!J17,"")</f>
        <v/>
      </c>
      <c r="I41" s="6" t="str">
        <f>IF($C41=1,Table!K17,"")</f>
        <v/>
      </c>
      <c r="J41" s="6" t="str">
        <f>IF($C41=1,Table!L17,"")</f>
        <v/>
      </c>
      <c r="K41" s="6" t="str">
        <f>IF($C41=1,Table!M17,"")</f>
        <v/>
      </c>
      <c r="L41" s="6" t="str">
        <f>IF($C41=1,Table!N17,"")</f>
        <v/>
      </c>
      <c r="M41" s="40" t="str">
        <f>IF(C41=1,((Table!K17-Table!L17)/NORMSINV(0.3))^2,"")</f>
        <v/>
      </c>
    </row>
    <row r="42" spans="1:13" x14ac:dyDescent="0.2">
      <c r="A42">
        <f t="shared" si="5"/>
        <v>11</v>
      </c>
      <c r="B42" s="49">
        <f>MAX(0,Table!I18-75)</f>
        <v>7.9919399999999996</v>
      </c>
      <c r="C42" t="str">
        <f t="shared" si="3"/>
        <v/>
      </c>
      <c r="D42" s="6" t="str">
        <f>IF($C42=1,Table!F18,"")</f>
        <v/>
      </c>
      <c r="E42" s="6" t="str">
        <f>IF($C42=1,Table!G18,"")</f>
        <v/>
      </c>
      <c r="F42" s="6" t="str">
        <f>IF($C42=1,Table!H18,"")</f>
        <v/>
      </c>
      <c r="G42" s="6" t="str">
        <f t="shared" si="4"/>
        <v/>
      </c>
      <c r="H42" s="6" t="str">
        <f>IF($C42=1,Table!J18,"")</f>
        <v/>
      </c>
      <c r="I42" s="6" t="str">
        <f>IF($C42=1,Table!K18,"")</f>
        <v/>
      </c>
      <c r="J42" s="6" t="str">
        <f>IF($C42=1,Table!L18,"")</f>
        <v/>
      </c>
      <c r="K42" s="6" t="str">
        <f>IF($C42=1,Table!M18,"")</f>
        <v/>
      </c>
      <c r="L42" s="6" t="str">
        <f>IF($C42=1,Table!N18,"")</f>
        <v/>
      </c>
      <c r="M42" s="40" t="str">
        <f>IF(C42=1,((Table!K18-Table!L18)/NORMSINV(0.3))^2,"")</f>
        <v/>
      </c>
    </row>
    <row r="43" spans="1:13" x14ac:dyDescent="0.2">
      <c r="A43">
        <f t="shared" si="5"/>
        <v>12</v>
      </c>
      <c r="B43" s="49">
        <f>MAX(0,Table!I19-75)</f>
        <v>10.339550000000003</v>
      </c>
      <c r="C43" t="str">
        <f t="shared" si="3"/>
        <v/>
      </c>
      <c r="D43" s="6" t="str">
        <f>IF($C43=1,Table!F19,"")</f>
        <v/>
      </c>
      <c r="E43" s="6" t="str">
        <f>IF($C43=1,Table!G19,"")</f>
        <v/>
      </c>
      <c r="F43" s="6" t="str">
        <f>IF($C43=1,Table!H19,"")</f>
        <v/>
      </c>
      <c r="G43" s="6" t="str">
        <f t="shared" si="4"/>
        <v/>
      </c>
      <c r="H43" s="6" t="str">
        <f>IF($C43=1,Table!J19,"")</f>
        <v/>
      </c>
      <c r="I43" s="6" t="str">
        <f>IF($C43=1,Table!K19,"")</f>
        <v/>
      </c>
      <c r="J43" s="6" t="str">
        <f>IF($C43=1,Table!L19,"")</f>
        <v/>
      </c>
      <c r="K43" s="6" t="str">
        <f>IF($C43=1,Table!M19,"")</f>
        <v/>
      </c>
      <c r="L43" s="6" t="str">
        <f>IF($C43=1,Table!N19,"")</f>
        <v/>
      </c>
      <c r="M43" s="40" t="str">
        <f>IF(C43=1,((Table!K19-Table!L19)/NORMSINV(0.3))^2,"")</f>
        <v/>
      </c>
    </row>
    <row r="44" spans="1:13" x14ac:dyDescent="0.2">
      <c r="A44">
        <f t="shared" si="5"/>
        <v>13</v>
      </c>
      <c r="B44" s="49">
        <f>MAX(0,Table!I20-75)</f>
        <v>12.060580000000002</v>
      </c>
      <c r="C44">
        <f t="shared" si="3"/>
        <v>1</v>
      </c>
      <c r="D44" s="6">
        <f>IF($C44=1,Table!F20,"")</f>
        <v>841.48800000000006</v>
      </c>
      <c r="E44" s="6">
        <f>IF($C44=1,Table!G20,"")</f>
        <v>734.08040000000005</v>
      </c>
      <c r="F44" s="6">
        <f>IF($C44=1,Table!H20,"")</f>
        <v>107.4076</v>
      </c>
      <c r="G44" s="6">
        <f t="shared" si="4"/>
        <v>12.060580000000002</v>
      </c>
      <c r="H44" s="6">
        <f>IF($C44=1,Table!J20,"")</f>
        <v>99.350830000000002</v>
      </c>
      <c r="I44" s="6">
        <f>IF($C44=1,Table!K20,"")</f>
        <v>104.1108</v>
      </c>
      <c r="J44" s="6">
        <f>IF($C44=1,Table!L20,"")</f>
        <v>107.4076</v>
      </c>
      <c r="K44" s="6">
        <f>IF($C44=1,Table!M20,"")</f>
        <v>110.7043</v>
      </c>
      <c r="L44" s="6">
        <f>IF($C44=1,Table!N20,"")</f>
        <v>115.46429999999999</v>
      </c>
      <c r="M44" s="40">
        <f>IF(C44=1,((Table!K20-Table!L20)/NORMSINV(0.3))^2,"")</f>
        <v>39.5238268271641</v>
      </c>
    </row>
    <row r="45" spans="1:13" x14ac:dyDescent="0.2">
      <c r="A45">
        <f t="shared" si="5"/>
        <v>14</v>
      </c>
      <c r="B45" s="49">
        <f>MAX(0,Table!I21-75)</f>
        <v>12.996510000000001</v>
      </c>
      <c r="C45">
        <f t="shared" si="3"/>
        <v>1</v>
      </c>
      <c r="D45" s="6">
        <f>IF($C45=1,Table!F21,"")</f>
        <v>846.28779999999995</v>
      </c>
      <c r="E45" s="6">
        <f>IF($C45=1,Table!G21,"")</f>
        <v>734.68649999999991</v>
      </c>
      <c r="F45" s="6">
        <f>IF($C45=1,Table!H21,"")</f>
        <v>111.60129999999999</v>
      </c>
      <c r="G45" s="6">
        <f t="shared" si="4"/>
        <v>12.996510000000001</v>
      </c>
      <c r="H45" s="6">
        <f>IF($C45=1,Table!J21,"")</f>
        <v>103.8702</v>
      </c>
      <c r="I45" s="6">
        <f>IF($C45=1,Table!K21,"")</f>
        <v>108.4378</v>
      </c>
      <c r="J45" s="6">
        <f>IF($C45=1,Table!L21,"")</f>
        <v>111.60129999999999</v>
      </c>
      <c r="K45" s="6">
        <f>IF($C45=1,Table!M21,"")</f>
        <v>114.7649</v>
      </c>
      <c r="L45" s="6">
        <f>IF($C45=1,Table!N21,"")</f>
        <v>119.3325</v>
      </c>
      <c r="M45" s="40">
        <f>IF(C45=1,((Table!K21-Table!L21)/NORMSINV(0.3))^2,"")</f>
        <v>36.392296513026892</v>
      </c>
    </row>
    <row r="46" spans="1:13" x14ac:dyDescent="0.2">
      <c r="A46">
        <f t="shared" si="5"/>
        <v>15</v>
      </c>
      <c r="B46" s="49">
        <f>MAX(0,Table!I22-75)</f>
        <v>13.591589999999997</v>
      </c>
      <c r="C46">
        <f t="shared" si="3"/>
        <v>1</v>
      </c>
      <c r="D46" s="6">
        <f>IF($C46=1,Table!F22,"")</f>
        <v>841.51639999999998</v>
      </c>
      <c r="E46" s="6">
        <f>IF($C46=1,Table!G22,"")</f>
        <v>736.66089999999997</v>
      </c>
      <c r="F46" s="6">
        <f>IF($C46=1,Table!H22,"")</f>
        <v>104.85550000000001</v>
      </c>
      <c r="G46" s="6">
        <f t="shared" si="4"/>
        <v>13.591589999999997</v>
      </c>
      <c r="H46" s="6">
        <f>IF($C46=1,Table!J22,"")</f>
        <v>97.218249999999998</v>
      </c>
      <c r="I46" s="6">
        <f>IF($C46=1,Table!K22,"")</f>
        <v>101.7304</v>
      </c>
      <c r="J46" s="6">
        <f>IF($C46=1,Table!L22,"")</f>
        <v>104.85550000000001</v>
      </c>
      <c r="K46" s="6">
        <f>IF($C46=1,Table!M22,"")</f>
        <v>107.98050000000001</v>
      </c>
      <c r="L46" s="6">
        <f>IF($C46=1,Table!N22,"")</f>
        <v>112.4927</v>
      </c>
      <c r="M46" s="40">
        <f>IF(C46=1,((Table!K22-Table!L22)/NORMSINV(0.3))^2,"")</f>
        <v>35.514166177284849</v>
      </c>
    </row>
    <row r="47" spans="1:13" x14ac:dyDescent="0.2">
      <c r="A47">
        <f t="shared" si="5"/>
        <v>16</v>
      </c>
      <c r="B47" s="49">
        <f>MAX(0,Table!I23-75)</f>
        <v>13.343119999999999</v>
      </c>
      <c r="C47">
        <f t="shared" si="3"/>
        <v>1</v>
      </c>
      <c r="D47" s="6">
        <f>IF($C47=1,Table!F23,"")</f>
        <v>832.09659999999997</v>
      </c>
      <c r="E47" s="6">
        <f>IF($C47=1,Table!G23,"")</f>
        <v>722.61259999999993</v>
      </c>
      <c r="F47" s="6">
        <f>IF($C47=1,Table!H23,"")</f>
        <v>109.48399999999999</v>
      </c>
      <c r="G47" s="6">
        <f t="shared" si="4"/>
        <v>13.343119999999999</v>
      </c>
      <c r="H47" s="6">
        <f>IF($C47=1,Table!J23,"")</f>
        <v>101.4487</v>
      </c>
      <c r="I47" s="6">
        <f>IF($C47=1,Table!K23,"")</f>
        <v>106.196</v>
      </c>
      <c r="J47" s="6">
        <f>IF($C47=1,Table!L23,"")</f>
        <v>109.48399999999999</v>
      </c>
      <c r="K47" s="6">
        <f>IF($C47=1,Table!M23,"")</f>
        <v>112.7719</v>
      </c>
      <c r="L47" s="6">
        <f>IF($C47=1,Table!N23,"")</f>
        <v>117.5192</v>
      </c>
      <c r="M47" s="40">
        <f>IF(C47=1,((Table!K23-Table!L23)/NORMSINV(0.3))^2,"")</f>
        <v>39.313110083828278</v>
      </c>
    </row>
    <row r="48" spans="1:13" x14ac:dyDescent="0.2">
      <c r="A48">
        <f t="shared" si="5"/>
        <v>17</v>
      </c>
      <c r="B48" s="49">
        <f>MAX(0,Table!I24-75)</f>
        <v>12.001750000000001</v>
      </c>
      <c r="C48">
        <f t="shared" si="3"/>
        <v>1</v>
      </c>
      <c r="D48" s="6">
        <f>IF($C48=1,Table!F24,"")</f>
        <v>820.25789999999995</v>
      </c>
      <c r="E48" s="6">
        <f>IF($C48=1,Table!G24,"")</f>
        <v>708.09249999999997</v>
      </c>
      <c r="F48" s="6">
        <f>IF($C48=1,Table!H24,"")</f>
        <v>112.16540000000001</v>
      </c>
      <c r="G48" s="6">
        <f t="shared" si="4"/>
        <v>12.001750000000001</v>
      </c>
      <c r="H48" s="6">
        <f>IF($C48=1,Table!J24,"")</f>
        <v>105.0008</v>
      </c>
      <c r="I48" s="6">
        <f>IF($C48=1,Table!K24,"")</f>
        <v>109.2337</v>
      </c>
      <c r="J48" s="6">
        <f>IF($C48=1,Table!L24,"")</f>
        <v>112.16540000000001</v>
      </c>
      <c r="K48" s="6">
        <f>IF($C48=1,Table!M24,"")</f>
        <v>115.0971</v>
      </c>
      <c r="L48" s="6">
        <f>IF($C48=1,Table!N24,"")</f>
        <v>119.3301</v>
      </c>
      <c r="M48" s="40">
        <f>IF(C48=1,((Table!K24-Table!L24)/NORMSINV(0.3))^2,"")</f>
        <v>31.254520380107671</v>
      </c>
    </row>
    <row r="49" spans="1:13" x14ac:dyDescent="0.2">
      <c r="A49">
        <f t="shared" si="5"/>
        <v>18</v>
      </c>
      <c r="B49" s="49">
        <f>MAX(0,Table!I25-75)</f>
        <v>9.5859099999999984</v>
      </c>
      <c r="C49">
        <f t="shared" si="3"/>
        <v>1</v>
      </c>
      <c r="D49" s="6">
        <f>IF($C49=1,Table!F25,"")</f>
        <v>802.68330000000003</v>
      </c>
      <c r="E49" s="6">
        <f>IF($C49=1,Table!G25,"")</f>
        <v>692.38959999999997</v>
      </c>
      <c r="F49" s="6">
        <f>IF($C49=1,Table!H25,"")</f>
        <v>110.2937</v>
      </c>
      <c r="G49" s="6">
        <f t="shared" si="4"/>
        <v>9.5859099999999984</v>
      </c>
      <c r="H49" s="6">
        <f>IF($C49=1,Table!J25,"")</f>
        <v>102.6452</v>
      </c>
      <c r="I49" s="6">
        <f>IF($C49=1,Table!K25,"")</f>
        <v>107.164</v>
      </c>
      <c r="J49" s="6">
        <f>IF($C49=1,Table!L25,"")</f>
        <v>110.2937</v>
      </c>
      <c r="K49" s="6">
        <f>IF($C49=1,Table!M25,"")</f>
        <v>113.4234</v>
      </c>
      <c r="L49" s="6">
        <f>IF($C49=1,Table!N25,"")</f>
        <v>117.9422</v>
      </c>
      <c r="M49" s="40">
        <f>IF(C49=1,((Table!K25-Table!L25)/NORMSINV(0.3))^2,"")</f>
        <v>35.61879348350157</v>
      </c>
    </row>
    <row r="50" spans="1:13" x14ac:dyDescent="0.2">
      <c r="A50">
        <f t="shared" si="5"/>
        <v>19</v>
      </c>
      <c r="B50" s="49">
        <f>MAX(0,Table!I26-75)</f>
        <v>6.364050000000006</v>
      </c>
      <c r="C50">
        <f t="shared" si="3"/>
        <v>1</v>
      </c>
      <c r="D50" s="6">
        <f>IF($C50=1,Table!F26,"")</f>
        <v>770.08450000000005</v>
      </c>
      <c r="E50" s="6">
        <f>IF($C50=1,Table!G26,"")</f>
        <v>665.46910000000003</v>
      </c>
      <c r="F50" s="6">
        <f>IF($C50=1,Table!H26,"")</f>
        <v>104.61539999999999</v>
      </c>
      <c r="G50" s="6">
        <f t="shared" si="4"/>
        <v>6.364050000000006</v>
      </c>
      <c r="H50" s="6">
        <f>IF($C50=1,Table!J26,"")</f>
        <v>95.858630000000005</v>
      </c>
      <c r="I50" s="6">
        <f>IF($C50=1,Table!K26,"")</f>
        <v>101.0322</v>
      </c>
      <c r="J50" s="6">
        <f>IF($C50=1,Table!L26,"")</f>
        <v>104.61539999999999</v>
      </c>
      <c r="K50" s="6">
        <f>IF($C50=1,Table!M26,"")</f>
        <v>108.1986</v>
      </c>
      <c r="L50" s="6">
        <f>IF($C50=1,Table!N26,"")</f>
        <v>113.37220000000001</v>
      </c>
      <c r="M50" s="40">
        <f>IF(C50=1,((Table!K26-Table!L26)/NORMSINV(0.3))^2,"")</f>
        <v>46.689140987397863</v>
      </c>
    </row>
    <row r="51" spans="1:13" x14ac:dyDescent="0.2">
      <c r="A51">
        <f t="shared" si="5"/>
        <v>20</v>
      </c>
      <c r="B51" s="49">
        <f>MAX(0,Table!I27-75)</f>
        <v>3.8693099999999987</v>
      </c>
      <c r="C51">
        <f t="shared" si="3"/>
        <v>1</v>
      </c>
      <c r="D51" s="6">
        <f>IF($C51=1,Table!F27,"")</f>
        <v>754.22799999999995</v>
      </c>
      <c r="E51" s="6">
        <f>IF($C51=1,Table!G27,"")</f>
        <v>660.98264999999992</v>
      </c>
      <c r="F51" s="6">
        <f>IF($C51=1,Table!H27,"")</f>
        <v>93.245350000000002</v>
      </c>
      <c r="G51" s="6">
        <f t="shared" si="4"/>
        <v>3.8693099999999987</v>
      </c>
      <c r="H51" s="6">
        <f>IF($C51=1,Table!J27,"")</f>
        <v>84.237560000000002</v>
      </c>
      <c r="I51" s="6">
        <f>IF($C51=1,Table!K27,"")</f>
        <v>89.559439999999995</v>
      </c>
      <c r="J51" s="6">
        <f>IF($C51=1,Table!L27,"")</f>
        <v>93.245350000000002</v>
      </c>
      <c r="K51" s="6">
        <f>IF($C51=1,Table!M27,"")</f>
        <v>96.931269999999998</v>
      </c>
      <c r="L51" s="6">
        <f>IF($C51=1,Table!N27,"")</f>
        <v>102.2531</v>
      </c>
      <c r="M51" s="40">
        <f>IF(C51=1,((Table!K27-Table!L27)/NORMSINV(0.3))^2,"")</f>
        <v>49.404127989994379</v>
      </c>
    </row>
    <row r="52" spans="1:13" x14ac:dyDescent="0.2">
      <c r="A52">
        <f t="shared" si="5"/>
        <v>21</v>
      </c>
      <c r="B52" s="49">
        <f>MAX(0,Table!I28-75)</f>
        <v>2.0137200000000064</v>
      </c>
      <c r="C52" t="str">
        <f t="shared" si="3"/>
        <v/>
      </c>
      <c r="D52" s="6" t="str">
        <f>IF($C52=1,Table!F28,"")</f>
        <v/>
      </c>
      <c r="E52" s="6" t="str">
        <f>IF($C52=1,Table!G28,"")</f>
        <v/>
      </c>
      <c r="F52" s="6" t="str">
        <f>IF($C52=1,Table!H28,"")</f>
        <v/>
      </c>
      <c r="G52" s="6" t="str">
        <f t="shared" si="4"/>
        <v/>
      </c>
      <c r="H52" s="6" t="str">
        <f>IF($C52=1,Table!J28,"")</f>
        <v/>
      </c>
      <c r="I52" s="6" t="str">
        <f>IF($C52=1,Table!K28,"")</f>
        <v/>
      </c>
      <c r="J52" s="6" t="str">
        <f>IF($C52=1,Table!L28,"")</f>
        <v/>
      </c>
      <c r="K52" s="6" t="str">
        <f>IF($C52=1,Table!M28,"")</f>
        <v/>
      </c>
      <c r="L52" s="6" t="str">
        <f>IF($C52=1,Table!N28,"")</f>
        <v/>
      </c>
      <c r="M52" s="40" t="str">
        <f>IF(C52=1,((Table!K28-Table!L28)/NORMSINV(0.3))^2,"")</f>
        <v/>
      </c>
    </row>
    <row r="53" spans="1:13" x14ac:dyDescent="0.2">
      <c r="A53">
        <f t="shared" si="5"/>
        <v>22</v>
      </c>
      <c r="B53" s="49">
        <f>MAX(0,Table!I29-75)</f>
        <v>0.62743000000000393</v>
      </c>
      <c r="C53" t="str">
        <f t="shared" si="3"/>
        <v/>
      </c>
      <c r="D53" s="6" t="str">
        <f>IF($C53=1,Table!F29,"")</f>
        <v/>
      </c>
      <c r="E53" s="6" t="str">
        <f>IF($C53=1,Table!G29,"")</f>
        <v/>
      </c>
      <c r="F53" s="6" t="str">
        <f>IF($C53=1,Table!H29,"")</f>
        <v/>
      </c>
      <c r="G53" s="6" t="str">
        <f t="shared" si="4"/>
        <v/>
      </c>
      <c r="H53" s="6" t="str">
        <f>IF($C53=1,Table!J29,"")</f>
        <v/>
      </c>
      <c r="I53" s="6" t="str">
        <f>IF($C53=1,Table!K29,"")</f>
        <v/>
      </c>
      <c r="J53" s="6" t="str">
        <f>IF($C53=1,Table!L29,"")</f>
        <v/>
      </c>
      <c r="K53" s="6" t="str">
        <f>IF($C53=1,Table!M29,"")</f>
        <v/>
      </c>
      <c r="L53" s="6" t="str">
        <f>IF($C53=1,Table!N29,"")</f>
        <v/>
      </c>
      <c r="M53" s="40" t="str">
        <f>IF(C53=1,((Table!K29-Table!L29)/NORMSINV(0.3))^2,"")</f>
        <v/>
      </c>
    </row>
    <row r="54" spans="1:13" x14ac:dyDescent="0.2">
      <c r="A54">
        <f t="shared" si="5"/>
        <v>23</v>
      </c>
      <c r="B54" s="49">
        <f>MAX(0,Table!I30-75)</f>
        <v>0</v>
      </c>
      <c r="C54" t="str">
        <f t="shared" si="3"/>
        <v/>
      </c>
      <c r="D54" s="6" t="str">
        <f>IF($C54=1,Table!F30,"")</f>
        <v/>
      </c>
      <c r="E54" s="6" t="str">
        <f>IF($C54=1,Table!G30,"")</f>
        <v/>
      </c>
      <c r="F54" s="6" t="str">
        <f>IF($C54=1,Table!H30,"")</f>
        <v/>
      </c>
      <c r="G54" s="6" t="str">
        <f t="shared" si="4"/>
        <v/>
      </c>
      <c r="H54" s="6" t="str">
        <f>IF($C54=1,Table!J30,"")</f>
        <v/>
      </c>
      <c r="I54" s="6" t="str">
        <f>IF($C54=1,Table!K30,"")</f>
        <v/>
      </c>
      <c r="J54" s="6" t="str">
        <f>IF($C54=1,Table!L30,"")</f>
        <v/>
      </c>
      <c r="K54" s="6" t="str">
        <f>IF($C54=1,Table!M30,"")</f>
        <v/>
      </c>
      <c r="L54" s="6" t="str">
        <f>IF($C54=1,Table!N30,"")</f>
        <v/>
      </c>
      <c r="M54" s="40" t="str">
        <f>IF(C54=1,((Table!K30-Table!L30)/NORMSINV(0.3))^2,"")</f>
        <v/>
      </c>
    </row>
    <row r="55" spans="1:13" x14ac:dyDescent="0.2">
      <c r="A55">
        <f t="shared" si="5"/>
        <v>24</v>
      </c>
      <c r="B55" s="49">
        <f>MAX(0,Table!I31-75)</f>
        <v>0</v>
      </c>
      <c r="C55" t="str">
        <f t="shared" si="3"/>
        <v/>
      </c>
      <c r="D55" s="6" t="str">
        <f>IF($C55=1,Table!F31,"")</f>
        <v/>
      </c>
      <c r="E55" s="6" t="str">
        <f>IF($C55=1,Table!G31,"")</f>
        <v/>
      </c>
      <c r="F55" s="6" t="str">
        <f>IF($C55=1,Table!H31,"")</f>
        <v/>
      </c>
      <c r="G55" s="6" t="str">
        <f t="shared" si="4"/>
        <v/>
      </c>
      <c r="H55" s="6" t="str">
        <f>IF($C55=1,Table!J31,"")</f>
        <v/>
      </c>
      <c r="I55" s="6" t="str">
        <f>IF($C55=1,Table!K31,"")</f>
        <v/>
      </c>
      <c r="J55" s="6" t="str">
        <f>IF($C55=1,Table!L31,"")</f>
        <v/>
      </c>
      <c r="K55" s="6" t="str">
        <f>IF($C55=1,Table!M31,"")</f>
        <v/>
      </c>
      <c r="L55" s="6" t="str">
        <f>IF($C55=1,Table!N31,"")</f>
        <v/>
      </c>
      <c r="M55" s="40" t="str">
        <f>IF(C55=1,((Table!K31-Table!L31)/NORMSINV(0.3))^2,"")</f>
        <v/>
      </c>
    </row>
    <row r="56" spans="1:13" x14ac:dyDescent="0.2">
      <c r="A56" s="42" t="s">
        <v>225</v>
      </c>
      <c r="D56">
        <f>AVERAGE(D32:D55)</f>
        <v>813.58031249999988</v>
      </c>
      <c r="E56">
        <f>AVERAGE(E32:E55)</f>
        <v>706.87178124999991</v>
      </c>
      <c r="F56">
        <f>AVERAGE(F32:F55)</f>
        <v>106.70853124999999</v>
      </c>
      <c r="G56" s="6">
        <f>SUM(G32:G55)</f>
        <v>83.812820000000002</v>
      </c>
      <c r="H56">
        <f t="shared" ref="H56:L56" si="6">AVERAGE(H32:H55)</f>
        <v>98.703771250000017</v>
      </c>
      <c r="I56">
        <f t="shared" si="6"/>
        <v>103.4330425</v>
      </c>
      <c r="J56">
        <f t="shared" si="6"/>
        <v>106.70853124999999</v>
      </c>
      <c r="K56">
        <f t="shared" si="6"/>
        <v>109.98399625000002</v>
      </c>
      <c r="L56">
        <f t="shared" si="6"/>
        <v>114.71328749999999</v>
      </c>
      <c r="M56" s="49">
        <f>SQRT((1/SUM(C32:C55)^2*SUM(M32:M55)))</f>
        <v>2.2139824921758131</v>
      </c>
    </row>
    <row r="57" spans="1:13" x14ac:dyDescent="0.2">
      <c r="G57" s="6"/>
      <c r="H57" s="6"/>
    </row>
    <row r="58" spans="1:13" x14ac:dyDescent="0.2">
      <c r="G58" s="6"/>
      <c r="H58" s="6"/>
    </row>
    <row r="59" spans="1:13" x14ac:dyDescent="0.2">
      <c r="G59" s="6"/>
      <c r="H59" s="6"/>
    </row>
    <row r="60" spans="1:13" x14ac:dyDescent="0.2">
      <c r="G60" s="6"/>
      <c r="H60" s="6"/>
    </row>
    <row r="61" spans="1:13" x14ac:dyDescent="0.2">
      <c r="G61" s="6"/>
      <c r="H61" s="6"/>
    </row>
    <row r="62" spans="1:13" x14ac:dyDescent="0.2">
      <c r="G62" s="6"/>
      <c r="H62" s="6"/>
    </row>
    <row r="63" spans="1:13" x14ac:dyDescent="0.2">
      <c r="G63" s="6"/>
      <c r="H63" s="6"/>
    </row>
    <row r="64" spans="1:13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745"/>
  <sheetViews>
    <sheetView zoomScaleNormal="100" workbookViewId="0">
      <pane xSplit="7" ySplit="1" topLeftCell="H2" activePane="bottomRight" state="frozen"/>
      <selection activeCell="B10" sqref="B10:F15"/>
      <selection pane="topRight" activeCell="B10" sqref="B10:F15"/>
      <selection pane="bottomLeft" activeCell="B10" sqref="B10:F15"/>
      <selection pane="bottomRight" activeCell="H2" sqref="H2"/>
    </sheetView>
  </sheetViews>
  <sheetFormatPr defaultRowHeight="12.75" x14ac:dyDescent="0.2"/>
  <cols>
    <col min="1" max="1" width="31" bestFit="1" customWidth="1"/>
    <col min="2" max="2" width="12.7109375" customWidth="1"/>
    <col min="3" max="3" width="11.85546875" customWidth="1"/>
    <col min="4" max="4" width="16" customWidth="1"/>
    <col min="5" max="5" width="6" customWidth="1"/>
    <col min="6" max="6" width="7.42578125" customWidth="1"/>
    <col min="7" max="16" width="10" customWidth="1"/>
    <col min="17" max="17" width="9" customWidth="1"/>
    <col min="18" max="18" width="10" customWidth="1"/>
    <col min="19" max="19" width="9" customWidth="1"/>
    <col min="20" max="30" width="10" customWidth="1"/>
    <col min="31" max="39" width="12.85546875" customWidth="1"/>
    <col min="40" max="54" width="14" customWidth="1"/>
    <col min="55" max="63" width="12.85546875" customWidth="1"/>
    <col min="64" max="78" width="14" customWidth="1"/>
    <col min="79" max="87" width="12.85546875" customWidth="1"/>
    <col min="88" max="102" width="14" customWidth="1"/>
    <col min="103" max="111" width="12.85546875" customWidth="1"/>
    <col min="112" max="126" width="14" customWidth="1"/>
    <col min="127" max="135" width="12.85546875" customWidth="1"/>
    <col min="136" max="150" width="14" customWidth="1"/>
    <col min="151" max="159" width="9" customWidth="1"/>
    <col min="160" max="175" width="9.7109375" customWidth="1"/>
    <col min="176" max="177" width="12" bestFit="1" customWidth="1"/>
    <col min="178" max="178" width="9.28515625" customWidth="1"/>
    <col min="179" max="181" width="10.140625" bestFit="1" customWidth="1"/>
  </cols>
  <sheetData>
    <row r="1" spans="1:173" x14ac:dyDescent="0.2">
      <c r="A1" s="65" t="s">
        <v>200</v>
      </c>
      <c r="B1" t="s">
        <v>203</v>
      </c>
      <c r="C1" t="s">
        <v>228</v>
      </c>
      <c r="D1" t="s">
        <v>229</v>
      </c>
      <c r="E1" t="s">
        <v>167</v>
      </c>
      <c r="F1" t="s">
        <v>168</v>
      </c>
      <c r="G1" t="s">
        <v>169</v>
      </c>
      <c r="H1" t="s">
        <v>170</v>
      </c>
      <c r="I1" t="s">
        <v>171</v>
      </c>
      <c r="J1" t="s">
        <v>172</v>
      </c>
      <c r="K1" t="s">
        <v>173</v>
      </c>
      <c r="L1" t="s">
        <v>174</v>
      </c>
      <c r="M1" t="s">
        <v>175</v>
      </c>
      <c r="N1" t="s">
        <v>176</v>
      </c>
      <c r="O1" t="s">
        <v>177</v>
      </c>
      <c r="P1" t="s">
        <v>178</v>
      </c>
      <c r="Q1" t="s">
        <v>179</v>
      </c>
      <c r="R1" t="s">
        <v>180</v>
      </c>
      <c r="S1" t="s">
        <v>181</v>
      </c>
      <c r="T1" t="s">
        <v>182</v>
      </c>
      <c r="U1" t="s">
        <v>183</v>
      </c>
      <c r="V1" t="s">
        <v>184</v>
      </c>
      <c r="W1" t="s">
        <v>185</v>
      </c>
      <c r="X1" t="s">
        <v>186</v>
      </c>
      <c r="Y1" t="s">
        <v>187</v>
      </c>
      <c r="Z1" t="s">
        <v>188</v>
      </c>
      <c r="AA1" t="s">
        <v>189</v>
      </c>
      <c r="AB1" t="s">
        <v>190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W1" t="s">
        <v>42</v>
      </c>
      <c r="AX1" t="s">
        <v>43</v>
      </c>
      <c r="AY1" t="s">
        <v>44</v>
      </c>
      <c r="AZ1" t="s">
        <v>45</v>
      </c>
      <c r="BA1" t="s">
        <v>46</v>
      </c>
      <c r="BB1" t="s">
        <v>47</v>
      </c>
      <c r="BC1" t="s">
        <v>48</v>
      </c>
      <c r="BD1" t="s">
        <v>49</v>
      </c>
      <c r="BE1" t="s">
        <v>50</v>
      </c>
      <c r="BF1" t="s">
        <v>51</v>
      </c>
      <c r="BG1" t="s">
        <v>52</v>
      </c>
      <c r="BH1" t="s">
        <v>53</v>
      </c>
      <c r="BI1" t="s">
        <v>54</v>
      </c>
      <c r="BJ1" t="s">
        <v>55</v>
      </c>
      <c r="BK1" t="s">
        <v>56</v>
      </c>
      <c r="BL1" t="s">
        <v>57</v>
      </c>
      <c r="BM1" t="s">
        <v>58</v>
      </c>
      <c r="BN1" t="s">
        <v>59</v>
      </c>
      <c r="BO1" t="s">
        <v>60</v>
      </c>
      <c r="BP1" t="s">
        <v>61</v>
      </c>
      <c r="BQ1" t="s">
        <v>62</v>
      </c>
      <c r="BR1" t="s">
        <v>63</v>
      </c>
      <c r="BS1" t="s">
        <v>64</v>
      </c>
      <c r="BT1" t="s">
        <v>65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71</v>
      </c>
      <c r="CA1" t="s">
        <v>72</v>
      </c>
      <c r="CB1" t="s">
        <v>73</v>
      </c>
      <c r="CC1" t="s">
        <v>74</v>
      </c>
      <c r="CD1" t="s">
        <v>75</v>
      </c>
      <c r="CE1" t="s">
        <v>76</v>
      </c>
      <c r="CF1" t="s">
        <v>77</v>
      </c>
      <c r="CG1" t="s">
        <v>78</v>
      </c>
      <c r="CH1" t="s">
        <v>79</v>
      </c>
      <c r="CI1" t="s">
        <v>80</v>
      </c>
      <c r="CJ1" t="s">
        <v>81</v>
      </c>
      <c r="CK1" t="s">
        <v>82</v>
      </c>
      <c r="CL1" t="s">
        <v>83</v>
      </c>
      <c r="CM1" t="s">
        <v>84</v>
      </c>
      <c r="CN1" t="s">
        <v>85</v>
      </c>
      <c r="CO1" t="s">
        <v>86</v>
      </c>
      <c r="CP1" t="s">
        <v>87</v>
      </c>
      <c r="CQ1" t="s">
        <v>88</v>
      </c>
      <c r="CR1" t="s">
        <v>89</v>
      </c>
      <c r="CS1" t="s">
        <v>90</v>
      </c>
      <c r="CT1" t="s">
        <v>91</v>
      </c>
      <c r="CU1" t="s">
        <v>92</v>
      </c>
      <c r="CV1" t="s">
        <v>93</v>
      </c>
      <c r="CW1" t="s">
        <v>94</v>
      </c>
      <c r="CX1" t="s">
        <v>95</v>
      </c>
      <c r="CY1" t="s">
        <v>96</v>
      </c>
      <c r="CZ1" t="s">
        <v>97</v>
      </c>
      <c r="DA1" t="s">
        <v>98</v>
      </c>
      <c r="DB1" t="s">
        <v>99</v>
      </c>
      <c r="DC1" t="s">
        <v>100</v>
      </c>
      <c r="DD1" t="s">
        <v>101</v>
      </c>
      <c r="DE1" t="s">
        <v>102</v>
      </c>
      <c r="DF1" t="s">
        <v>103</v>
      </c>
      <c r="DG1" t="s">
        <v>104</v>
      </c>
      <c r="DH1" t="s">
        <v>105</v>
      </c>
      <c r="DI1" t="s">
        <v>106</v>
      </c>
      <c r="DJ1" t="s">
        <v>107</v>
      </c>
      <c r="DK1" t="s">
        <v>108</v>
      </c>
      <c r="DL1" t="s">
        <v>109</v>
      </c>
      <c r="DM1" t="s">
        <v>110</v>
      </c>
      <c r="DN1" t="s">
        <v>111</v>
      </c>
      <c r="DO1" t="s">
        <v>112</v>
      </c>
      <c r="DP1" t="s">
        <v>113</v>
      </c>
      <c r="DQ1" t="s">
        <v>114</v>
      </c>
      <c r="DR1" t="s">
        <v>115</v>
      </c>
      <c r="DS1" t="s">
        <v>116</v>
      </c>
      <c r="DT1" t="s">
        <v>117</v>
      </c>
      <c r="DU1" t="s">
        <v>118</v>
      </c>
      <c r="DV1" t="s">
        <v>119</v>
      </c>
      <c r="DW1" t="s">
        <v>120</v>
      </c>
      <c r="DX1" t="s">
        <v>121</v>
      </c>
      <c r="DY1" t="s">
        <v>122</v>
      </c>
      <c r="DZ1" t="s">
        <v>123</v>
      </c>
      <c r="EA1" t="s">
        <v>124</v>
      </c>
      <c r="EB1" t="s">
        <v>125</v>
      </c>
      <c r="EC1" t="s">
        <v>126</v>
      </c>
      <c r="ED1" t="s">
        <v>127</v>
      </c>
      <c r="EE1" t="s">
        <v>128</v>
      </c>
      <c r="EF1" t="s">
        <v>129</v>
      </c>
      <c r="EG1" t="s">
        <v>130</v>
      </c>
      <c r="EH1" t="s">
        <v>131</v>
      </c>
      <c r="EI1" t="s">
        <v>132</v>
      </c>
      <c r="EJ1" t="s">
        <v>133</v>
      </c>
      <c r="EK1" t="s">
        <v>134</v>
      </c>
      <c r="EL1" t="s">
        <v>135</v>
      </c>
      <c r="EM1" t="s">
        <v>136</v>
      </c>
      <c r="EN1" t="s">
        <v>137</v>
      </c>
      <c r="EO1" t="s">
        <v>138</v>
      </c>
      <c r="EP1" t="s">
        <v>139</v>
      </c>
      <c r="EQ1" t="s">
        <v>140</v>
      </c>
      <c r="ER1" t="s">
        <v>141</v>
      </c>
      <c r="ES1" t="s">
        <v>142</v>
      </c>
      <c r="ET1" t="s">
        <v>143</v>
      </c>
      <c r="EU1" t="s">
        <v>144</v>
      </c>
      <c r="EV1" t="s">
        <v>145</v>
      </c>
      <c r="EW1" t="s">
        <v>146</v>
      </c>
      <c r="EX1" t="s">
        <v>147</v>
      </c>
      <c r="EY1" t="s">
        <v>148</v>
      </c>
      <c r="EZ1" t="s">
        <v>149</v>
      </c>
      <c r="FA1" t="s">
        <v>150</v>
      </c>
      <c r="FB1" t="s">
        <v>151</v>
      </c>
      <c r="FC1" t="s">
        <v>152</v>
      </c>
      <c r="FD1" t="s">
        <v>153</v>
      </c>
      <c r="FE1" t="s">
        <v>154</v>
      </c>
      <c r="FF1" t="s">
        <v>155</v>
      </c>
      <c r="FG1" t="s">
        <v>156</v>
      </c>
      <c r="FH1" t="s">
        <v>157</v>
      </c>
      <c r="FI1" t="s">
        <v>158</v>
      </c>
      <c r="FJ1" t="s">
        <v>159</v>
      </c>
      <c r="FK1" t="s">
        <v>160</v>
      </c>
      <c r="FL1" t="s">
        <v>161</v>
      </c>
      <c r="FM1" t="s">
        <v>162</v>
      </c>
      <c r="FN1" t="s">
        <v>163</v>
      </c>
      <c r="FO1" t="s">
        <v>164</v>
      </c>
      <c r="FP1" t="s">
        <v>165</v>
      </c>
      <c r="FQ1" t="s">
        <v>243</v>
      </c>
    </row>
    <row r="2" spans="1:173" x14ac:dyDescent="0.2">
      <c r="A2" t="s">
        <v>1</v>
      </c>
      <c r="B2" s="66">
        <v>41834</v>
      </c>
      <c r="C2">
        <v>516</v>
      </c>
      <c r="D2">
        <v>1164</v>
      </c>
      <c r="E2">
        <v>663.67020000000002</v>
      </c>
      <c r="F2">
        <v>663.98789999999997</v>
      </c>
      <c r="G2">
        <v>661.61170000000004</v>
      </c>
      <c r="H2">
        <v>665.63229999999999</v>
      </c>
      <c r="I2">
        <v>691.60479999999995</v>
      </c>
      <c r="J2">
        <v>739.94</v>
      </c>
      <c r="K2">
        <v>805.8904</v>
      </c>
      <c r="L2">
        <v>849.92769999999996</v>
      </c>
      <c r="M2">
        <v>877.35929999999996</v>
      </c>
      <c r="N2">
        <v>895.24649999999997</v>
      </c>
      <c r="O2">
        <v>897.43679999999995</v>
      </c>
      <c r="P2">
        <v>910.09490000000005</v>
      </c>
      <c r="Q2">
        <v>901.88869999999997</v>
      </c>
      <c r="R2">
        <v>912.44650000000001</v>
      </c>
      <c r="S2">
        <v>911.4828</v>
      </c>
      <c r="T2">
        <v>914.01160000000004</v>
      </c>
      <c r="U2">
        <v>907.18399999999997</v>
      </c>
      <c r="V2">
        <v>889.81529999999998</v>
      </c>
      <c r="W2">
        <v>851.40610000000004</v>
      </c>
      <c r="X2">
        <v>831.91279999999995</v>
      </c>
      <c r="Y2">
        <v>832.49839999999995</v>
      </c>
      <c r="Z2">
        <v>818.82180000000005</v>
      </c>
      <c r="AA2">
        <v>788.995</v>
      </c>
      <c r="AB2">
        <v>755.52089999999998</v>
      </c>
      <c r="AC2">
        <v>6.1563169999999996</v>
      </c>
      <c r="AD2">
        <v>2.9240780000000002</v>
      </c>
      <c r="AE2">
        <v>0.34760350000000001</v>
      </c>
      <c r="AF2">
        <v>-4.1929069999999999</v>
      </c>
      <c r="AG2">
        <v>-4.3853400000000002</v>
      </c>
      <c r="AH2">
        <v>3.432315</v>
      </c>
      <c r="AI2">
        <v>-26.338290000000001</v>
      </c>
      <c r="AJ2">
        <v>-4.1921520000000001</v>
      </c>
      <c r="AK2">
        <v>-11.62608</v>
      </c>
      <c r="AL2">
        <v>-4.5473189999999999</v>
      </c>
      <c r="AM2">
        <v>-7.0660619999999996</v>
      </c>
      <c r="AN2">
        <v>77.338070000000002</v>
      </c>
      <c r="AO2">
        <v>141.39840000000001</v>
      </c>
      <c r="AP2">
        <v>149.18100000000001</v>
      </c>
      <c r="AQ2">
        <v>139.47790000000001</v>
      </c>
      <c r="AR2">
        <v>142.3587</v>
      </c>
      <c r="AS2">
        <v>134.77340000000001</v>
      </c>
      <c r="AT2">
        <v>134.67490000000001</v>
      </c>
      <c r="AU2">
        <v>126.7692</v>
      </c>
      <c r="AV2">
        <v>119.0947</v>
      </c>
      <c r="AW2">
        <v>56.781829999999999</v>
      </c>
      <c r="AX2">
        <v>35.950029999999998</v>
      </c>
      <c r="AY2">
        <v>15.8256</v>
      </c>
      <c r="AZ2">
        <v>28.995380000000001</v>
      </c>
      <c r="BA2">
        <v>8.6884429999999995</v>
      </c>
      <c r="BB2">
        <v>5.4361319999999997</v>
      </c>
      <c r="BC2">
        <v>2.5161500000000001</v>
      </c>
      <c r="BD2">
        <v>-1.782416</v>
      </c>
      <c r="BE2">
        <v>-2.171122</v>
      </c>
      <c r="BF2">
        <v>5.4285779999999999</v>
      </c>
      <c r="BG2">
        <v>-22.874739999999999</v>
      </c>
      <c r="BH2">
        <v>-1.179289</v>
      </c>
      <c r="BI2">
        <v>-8.1017849999999996</v>
      </c>
      <c r="BJ2">
        <v>0.3898199</v>
      </c>
      <c r="BK2">
        <v>-2.009938</v>
      </c>
      <c r="BL2">
        <v>82.386300000000006</v>
      </c>
      <c r="BM2">
        <v>146.46209999999999</v>
      </c>
      <c r="BN2">
        <v>153.4589</v>
      </c>
      <c r="BO2">
        <v>143.32599999999999</v>
      </c>
      <c r="BP2">
        <v>146.07859999999999</v>
      </c>
      <c r="BQ2">
        <v>137.952</v>
      </c>
      <c r="BR2">
        <v>138.0085</v>
      </c>
      <c r="BS2">
        <v>131.38300000000001</v>
      </c>
      <c r="BT2">
        <v>123.8283</v>
      </c>
      <c r="BU2">
        <v>60.967269999999999</v>
      </c>
      <c r="BV2">
        <v>40.07996</v>
      </c>
      <c r="BW2">
        <v>20.69172</v>
      </c>
      <c r="BX2">
        <v>33.208019999999998</v>
      </c>
      <c r="BY2">
        <v>10.44219</v>
      </c>
      <c r="BZ2">
        <v>7.1759729999999999</v>
      </c>
      <c r="CA2">
        <v>4.0180790000000002</v>
      </c>
      <c r="CB2">
        <v>-0.1129169</v>
      </c>
      <c r="CC2">
        <v>-0.63756120000000005</v>
      </c>
      <c r="CD2">
        <v>6.8111829999999998</v>
      </c>
      <c r="CE2">
        <v>-20.475899999999999</v>
      </c>
      <c r="CF2">
        <v>0.90741019999999994</v>
      </c>
      <c r="CG2">
        <v>-5.6608660000000004</v>
      </c>
      <c r="CH2">
        <v>3.8092670000000002</v>
      </c>
      <c r="CI2">
        <v>1.4919180000000001</v>
      </c>
      <c r="CJ2">
        <v>85.882679999999993</v>
      </c>
      <c r="CK2">
        <v>149.9692</v>
      </c>
      <c r="CL2">
        <v>156.42179999999999</v>
      </c>
      <c r="CM2">
        <v>145.99109999999999</v>
      </c>
      <c r="CN2">
        <v>148.6549</v>
      </c>
      <c r="CO2">
        <v>140.1534</v>
      </c>
      <c r="CP2">
        <v>140.31739999999999</v>
      </c>
      <c r="CQ2">
        <v>134.57849999999999</v>
      </c>
      <c r="CR2">
        <v>127.10680000000001</v>
      </c>
      <c r="CS2">
        <v>63.86609</v>
      </c>
      <c r="CT2">
        <v>42.940330000000003</v>
      </c>
      <c r="CU2">
        <v>24.061969999999999</v>
      </c>
      <c r="CV2">
        <v>36.125689999999999</v>
      </c>
      <c r="CW2">
        <v>12.195930000000001</v>
      </c>
      <c r="CX2">
        <v>8.9158139999999992</v>
      </c>
      <c r="CY2">
        <v>5.5200079999999998</v>
      </c>
      <c r="CZ2">
        <v>1.5565819999999999</v>
      </c>
      <c r="DA2">
        <v>0.89599930000000005</v>
      </c>
      <c r="DB2">
        <v>8.1937890000000007</v>
      </c>
      <c r="DC2">
        <v>-18.077059999999999</v>
      </c>
      <c r="DD2">
        <v>2.99411</v>
      </c>
      <c r="DE2">
        <v>-3.2199469999999999</v>
      </c>
      <c r="DF2">
        <v>7.2287140000000001</v>
      </c>
      <c r="DG2">
        <v>4.9937750000000003</v>
      </c>
      <c r="DH2">
        <v>89.379069999999999</v>
      </c>
      <c r="DI2">
        <v>153.47630000000001</v>
      </c>
      <c r="DJ2">
        <v>159.38460000000001</v>
      </c>
      <c r="DK2">
        <v>148.65629999999999</v>
      </c>
      <c r="DL2">
        <v>151.2313</v>
      </c>
      <c r="DM2">
        <v>142.35480000000001</v>
      </c>
      <c r="DN2">
        <v>142.62620000000001</v>
      </c>
      <c r="DO2">
        <v>137.774</v>
      </c>
      <c r="DP2">
        <v>130.3853</v>
      </c>
      <c r="DQ2">
        <v>66.764920000000004</v>
      </c>
      <c r="DR2">
        <v>45.800699999999999</v>
      </c>
      <c r="DS2">
        <v>27.432230000000001</v>
      </c>
      <c r="DT2">
        <v>39.043349999999997</v>
      </c>
      <c r="DU2">
        <v>14.72805</v>
      </c>
      <c r="DV2">
        <v>11.42787</v>
      </c>
      <c r="DW2">
        <v>7.6885539999999999</v>
      </c>
      <c r="DX2">
        <v>3.9670730000000001</v>
      </c>
      <c r="DY2">
        <v>3.110217</v>
      </c>
      <c r="DZ2">
        <v>10.190049999999999</v>
      </c>
      <c r="EA2">
        <v>-14.613519999999999</v>
      </c>
      <c r="EB2">
        <v>6.0069720000000002</v>
      </c>
      <c r="EC2">
        <v>0.30435129999999999</v>
      </c>
      <c r="ED2">
        <v>12.165850000000001</v>
      </c>
      <c r="EE2">
        <v>10.049899999999999</v>
      </c>
      <c r="EF2">
        <v>94.427289999999999</v>
      </c>
      <c r="EG2">
        <v>158.53989999999999</v>
      </c>
      <c r="EH2">
        <v>163.6626</v>
      </c>
      <c r="EI2">
        <v>152.5044</v>
      </c>
      <c r="EJ2">
        <v>154.9512</v>
      </c>
      <c r="EK2">
        <v>145.5333</v>
      </c>
      <c r="EL2">
        <v>145.9599</v>
      </c>
      <c r="EM2">
        <v>142.3878</v>
      </c>
      <c r="EN2">
        <v>135.1189</v>
      </c>
      <c r="EO2">
        <v>70.950360000000003</v>
      </c>
      <c r="EP2">
        <v>49.930619999999998</v>
      </c>
      <c r="EQ2">
        <v>32.298340000000003</v>
      </c>
      <c r="ER2">
        <v>43.255989999999997</v>
      </c>
      <c r="ES2">
        <v>73.562929999999994</v>
      </c>
      <c r="ET2">
        <v>73.339680000000001</v>
      </c>
      <c r="EU2">
        <v>73.234859999999998</v>
      </c>
      <c r="EV2">
        <v>72.539439999999999</v>
      </c>
      <c r="EW2">
        <v>71.930120000000002</v>
      </c>
      <c r="EX2">
        <v>72.059359999999998</v>
      </c>
      <c r="EY2">
        <v>72.970650000000006</v>
      </c>
      <c r="EZ2">
        <v>74.693049999999999</v>
      </c>
      <c r="FA2">
        <v>76.028899999999993</v>
      </c>
      <c r="FB2">
        <v>76.901129999999995</v>
      </c>
      <c r="FC2">
        <v>77.465379999999996</v>
      </c>
      <c r="FD2">
        <v>78.804079999999999</v>
      </c>
      <c r="FE2">
        <v>80.468339999999998</v>
      </c>
      <c r="FF2">
        <v>81.435550000000006</v>
      </c>
      <c r="FG2">
        <v>83.269199999999998</v>
      </c>
      <c r="FH2">
        <v>83.717460000000003</v>
      </c>
      <c r="FI2">
        <v>81.698530000000005</v>
      </c>
      <c r="FJ2">
        <v>78.988050000000001</v>
      </c>
      <c r="FK2">
        <v>76.68459</v>
      </c>
      <c r="FL2">
        <v>74.921989999999994</v>
      </c>
      <c r="FM2">
        <v>73.723460000000003</v>
      </c>
      <c r="FN2">
        <v>73.232190000000003</v>
      </c>
      <c r="FO2">
        <v>72.937920000000005</v>
      </c>
      <c r="FP2">
        <v>72.393780000000007</v>
      </c>
      <c r="FQ2">
        <v>1</v>
      </c>
    </row>
    <row r="3" spans="1:173" x14ac:dyDescent="0.2">
      <c r="A3" t="s">
        <v>1</v>
      </c>
      <c r="B3" s="66">
        <v>41890</v>
      </c>
      <c r="C3">
        <v>530</v>
      </c>
      <c r="D3">
        <v>907</v>
      </c>
      <c r="E3">
        <v>628.97439999999995</v>
      </c>
      <c r="F3">
        <v>627.99919999999997</v>
      </c>
      <c r="G3">
        <v>623.22839999999997</v>
      </c>
      <c r="H3">
        <v>623.04660000000001</v>
      </c>
      <c r="I3">
        <v>642.67219999999998</v>
      </c>
      <c r="J3">
        <v>687.83399999999995</v>
      </c>
      <c r="K3">
        <v>754.54139999999995</v>
      </c>
      <c r="L3">
        <v>797.14589999999998</v>
      </c>
      <c r="M3">
        <v>827.91639999999995</v>
      </c>
      <c r="N3">
        <v>851.04849999999999</v>
      </c>
      <c r="O3">
        <v>843.82449999999994</v>
      </c>
      <c r="P3">
        <v>854.8433</v>
      </c>
      <c r="Q3">
        <v>835.1644</v>
      </c>
      <c r="R3">
        <v>845.79949999999997</v>
      </c>
      <c r="S3">
        <v>838.63319999999999</v>
      </c>
      <c r="T3">
        <v>825.45320000000004</v>
      </c>
      <c r="U3">
        <v>814.09439999999995</v>
      </c>
      <c r="V3">
        <v>794.04520000000002</v>
      </c>
      <c r="W3">
        <v>765.27639999999997</v>
      </c>
      <c r="X3">
        <v>757.21550000000002</v>
      </c>
      <c r="Y3">
        <v>744.26980000000003</v>
      </c>
      <c r="Z3">
        <v>727.84249999999997</v>
      </c>
      <c r="AA3">
        <v>701.25779999999997</v>
      </c>
      <c r="AB3">
        <v>664.29759999999999</v>
      </c>
      <c r="AC3">
        <v>43.244720000000001</v>
      </c>
      <c r="AD3">
        <v>42.957769999999996</v>
      </c>
      <c r="AE3">
        <v>31.782730000000001</v>
      </c>
      <c r="AF3">
        <v>-10.80321</v>
      </c>
      <c r="AG3">
        <v>-14.60266</v>
      </c>
      <c r="AH3">
        <v>-11.74878</v>
      </c>
      <c r="AI3">
        <v>-9.9990109999999994</v>
      </c>
      <c r="AJ3">
        <v>3.4710760000000001</v>
      </c>
      <c r="AK3">
        <v>2.9761860000000002</v>
      </c>
      <c r="AL3">
        <v>14.02976</v>
      </c>
      <c r="AM3">
        <v>34.773130000000002</v>
      </c>
      <c r="AN3">
        <v>67.294619999999995</v>
      </c>
      <c r="AO3">
        <v>118.6895</v>
      </c>
      <c r="AP3">
        <v>133.1696</v>
      </c>
      <c r="AQ3">
        <v>123.1758</v>
      </c>
      <c r="AR3">
        <v>131.94380000000001</v>
      </c>
      <c r="AS3">
        <v>143.72929999999999</v>
      </c>
      <c r="AT3">
        <v>148.43559999999999</v>
      </c>
      <c r="AU3">
        <v>140.23140000000001</v>
      </c>
      <c r="AV3">
        <v>135.41239999999999</v>
      </c>
      <c r="AW3">
        <v>62.3399</v>
      </c>
      <c r="AX3">
        <v>33.669640000000001</v>
      </c>
      <c r="AY3">
        <v>24.554369999999999</v>
      </c>
      <c r="AZ3">
        <v>-1.7703990000000001</v>
      </c>
      <c r="BA3">
        <v>47.271630000000002</v>
      </c>
      <c r="BB3">
        <v>46.806519999999999</v>
      </c>
      <c r="BC3">
        <v>34.58616</v>
      </c>
      <c r="BD3">
        <v>-7.5707500000000003</v>
      </c>
      <c r="BE3">
        <v>-11.55827</v>
      </c>
      <c r="BF3">
        <v>-9.0938610000000004</v>
      </c>
      <c r="BG3">
        <v>-6.0586339999999996</v>
      </c>
      <c r="BH3">
        <v>6.9133469999999999</v>
      </c>
      <c r="BI3">
        <v>7.4872529999999999</v>
      </c>
      <c r="BJ3">
        <v>21.334489999999999</v>
      </c>
      <c r="BK3">
        <v>41.070140000000002</v>
      </c>
      <c r="BL3">
        <v>73.270340000000004</v>
      </c>
      <c r="BM3">
        <v>124.8849</v>
      </c>
      <c r="BN3">
        <v>138.5515</v>
      </c>
      <c r="BO3">
        <v>127.91370000000001</v>
      </c>
      <c r="BP3">
        <v>136.6146</v>
      </c>
      <c r="BQ3">
        <v>147.78149999999999</v>
      </c>
      <c r="BR3">
        <v>152.55250000000001</v>
      </c>
      <c r="BS3">
        <v>145.08320000000001</v>
      </c>
      <c r="BT3">
        <v>140.52699999999999</v>
      </c>
      <c r="BU3">
        <v>68.388379999999998</v>
      </c>
      <c r="BV3">
        <v>40.124949999999998</v>
      </c>
      <c r="BW3">
        <v>31.278729999999999</v>
      </c>
      <c r="BX3">
        <v>4.1012719999999998</v>
      </c>
      <c r="BY3">
        <v>50.060650000000003</v>
      </c>
      <c r="BZ3">
        <v>49.472160000000002</v>
      </c>
      <c r="CA3">
        <v>36.527799999999999</v>
      </c>
      <c r="CB3">
        <v>-5.3319590000000003</v>
      </c>
      <c r="CC3">
        <v>-9.4497230000000005</v>
      </c>
      <c r="CD3">
        <v>-7.2550689999999998</v>
      </c>
      <c r="CE3">
        <v>-3.3295400000000002</v>
      </c>
      <c r="CF3">
        <v>9.2974530000000009</v>
      </c>
      <c r="CG3">
        <v>10.611599999999999</v>
      </c>
      <c r="CH3">
        <v>26.393719999999998</v>
      </c>
      <c r="CI3">
        <v>45.431440000000002</v>
      </c>
      <c r="CJ3">
        <v>77.409099999999995</v>
      </c>
      <c r="CK3">
        <v>129.17580000000001</v>
      </c>
      <c r="CL3">
        <v>142.279</v>
      </c>
      <c r="CM3">
        <v>131.1951</v>
      </c>
      <c r="CN3">
        <v>139.84970000000001</v>
      </c>
      <c r="CO3">
        <v>150.58799999999999</v>
      </c>
      <c r="CP3">
        <v>155.40379999999999</v>
      </c>
      <c r="CQ3">
        <v>148.4436</v>
      </c>
      <c r="CR3">
        <v>144.0694</v>
      </c>
      <c r="CS3">
        <v>72.577550000000002</v>
      </c>
      <c r="CT3">
        <v>44.595869999999998</v>
      </c>
      <c r="CU3">
        <v>35.936</v>
      </c>
      <c r="CV3">
        <v>8.1679729999999999</v>
      </c>
      <c r="CW3">
        <v>52.849670000000003</v>
      </c>
      <c r="CX3">
        <v>52.137790000000003</v>
      </c>
      <c r="CY3">
        <v>38.469439999999999</v>
      </c>
      <c r="CZ3">
        <v>-3.0931679999999999</v>
      </c>
      <c r="DA3">
        <v>-7.3411809999999997</v>
      </c>
      <c r="DB3">
        <v>-5.416277</v>
      </c>
      <c r="DC3">
        <v>-0.6004467</v>
      </c>
      <c r="DD3">
        <v>11.681559999999999</v>
      </c>
      <c r="DE3">
        <v>13.73596</v>
      </c>
      <c r="DF3">
        <v>31.452950000000001</v>
      </c>
      <c r="DG3">
        <v>49.792729999999999</v>
      </c>
      <c r="DH3">
        <v>81.547870000000003</v>
      </c>
      <c r="DI3">
        <v>133.4667</v>
      </c>
      <c r="DJ3">
        <v>146.00649999999999</v>
      </c>
      <c r="DK3">
        <v>134.47649999999999</v>
      </c>
      <c r="DL3">
        <v>143.0847</v>
      </c>
      <c r="DM3">
        <v>153.39449999999999</v>
      </c>
      <c r="DN3">
        <v>158.2551</v>
      </c>
      <c r="DO3">
        <v>151.804</v>
      </c>
      <c r="DP3">
        <v>147.61179999999999</v>
      </c>
      <c r="DQ3">
        <v>76.766710000000003</v>
      </c>
      <c r="DR3">
        <v>49.066800000000001</v>
      </c>
      <c r="DS3">
        <v>40.593269999999997</v>
      </c>
      <c r="DT3">
        <v>12.234669999999999</v>
      </c>
      <c r="DU3">
        <v>56.876579999999997</v>
      </c>
      <c r="DV3">
        <v>55.986539999999998</v>
      </c>
      <c r="DW3">
        <v>41.272869999999998</v>
      </c>
      <c r="DX3">
        <v>0.13929050000000001</v>
      </c>
      <c r="DY3">
        <v>-4.2967810000000002</v>
      </c>
      <c r="DZ3">
        <v>-2.7613539999999999</v>
      </c>
      <c r="EA3">
        <v>3.339931</v>
      </c>
      <c r="EB3">
        <v>15.12383</v>
      </c>
      <c r="EC3">
        <v>18.247019999999999</v>
      </c>
      <c r="ED3">
        <v>38.757680000000001</v>
      </c>
      <c r="EE3">
        <v>56.089739999999999</v>
      </c>
      <c r="EF3">
        <v>87.523579999999995</v>
      </c>
      <c r="EG3">
        <v>139.66210000000001</v>
      </c>
      <c r="EH3">
        <v>151.38839999999999</v>
      </c>
      <c r="EI3">
        <v>139.21430000000001</v>
      </c>
      <c r="EJ3">
        <v>147.75559999999999</v>
      </c>
      <c r="EK3">
        <v>157.44669999999999</v>
      </c>
      <c r="EL3">
        <v>162.37200000000001</v>
      </c>
      <c r="EM3">
        <v>156.6558</v>
      </c>
      <c r="EN3">
        <v>152.72649999999999</v>
      </c>
      <c r="EO3">
        <v>82.815190000000001</v>
      </c>
      <c r="EP3">
        <v>55.522100000000002</v>
      </c>
      <c r="EQ3">
        <v>47.317630000000001</v>
      </c>
      <c r="ER3">
        <v>18.106339999999999</v>
      </c>
      <c r="ES3">
        <v>74.361599999999996</v>
      </c>
      <c r="ET3">
        <v>74.078550000000007</v>
      </c>
      <c r="EU3">
        <v>73.566860000000005</v>
      </c>
      <c r="EV3">
        <v>73.569410000000005</v>
      </c>
      <c r="EW3">
        <v>73.408940000000001</v>
      </c>
      <c r="EX3">
        <v>73.060299999999998</v>
      </c>
      <c r="EY3">
        <v>73.366349999999997</v>
      </c>
      <c r="EZ3">
        <v>74.753460000000004</v>
      </c>
      <c r="FA3">
        <v>74.785049999999998</v>
      </c>
      <c r="FB3">
        <v>74.474429999999998</v>
      </c>
      <c r="FC3">
        <v>76.953969999999998</v>
      </c>
      <c r="FD3">
        <v>79.000979999999998</v>
      </c>
      <c r="FE3">
        <v>80.742900000000006</v>
      </c>
      <c r="FF3">
        <v>82.542389999999997</v>
      </c>
      <c r="FG3">
        <v>83.221530000000001</v>
      </c>
      <c r="FH3">
        <v>82.846279999999993</v>
      </c>
      <c r="FI3">
        <v>81.157589999999999</v>
      </c>
      <c r="FJ3">
        <v>79.259609999999995</v>
      </c>
      <c r="FK3">
        <v>77.503110000000007</v>
      </c>
      <c r="FL3">
        <v>76.632230000000007</v>
      </c>
      <c r="FM3">
        <v>75.957809999999995</v>
      </c>
      <c r="FN3">
        <v>74.518590000000003</v>
      </c>
      <c r="FO3">
        <v>73.495829999999998</v>
      </c>
      <c r="FP3">
        <v>72.674130000000005</v>
      </c>
      <c r="FQ3">
        <v>1</v>
      </c>
    </row>
    <row r="4" spans="1:173" x14ac:dyDescent="0.2">
      <c r="A4" t="s">
        <v>1</v>
      </c>
      <c r="B4" s="66">
        <v>41892</v>
      </c>
      <c r="C4">
        <v>507</v>
      </c>
      <c r="D4">
        <v>907</v>
      </c>
      <c r="E4">
        <v>675.22370000000001</v>
      </c>
      <c r="F4">
        <v>664.76070000000004</v>
      </c>
      <c r="G4">
        <v>649.20029999999997</v>
      </c>
      <c r="H4">
        <v>641.94119999999998</v>
      </c>
      <c r="I4">
        <v>662.24369999999999</v>
      </c>
      <c r="J4">
        <v>703.26379999999995</v>
      </c>
      <c r="K4">
        <v>765.94730000000004</v>
      </c>
      <c r="L4">
        <v>785.07899999999995</v>
      </c>
      <c r="M4">
        <v>808.64110000000005</v>
      </c>
      <c r="N4">
        <v>828.19539999999995</v>
      </c>
      <c r="O4">
        <v>842.63869999999997</v>
      </c>
      <c r="P4">
        <v>845.86040000000003</v>
      </c>
      <c r="Q4">
        <v>846.79989999999998</v>
      </c>
      <c r="R4">
        <v>851.04949999999997</v>
      </c>
      <c r="S4">
        <v>851.94209999999998</v>
      </c>
      <c r="T4">
        <v>836.81230000000005</v>
      </c>
      <c r="U4">
        <v>824.18449999999996</v>
      </c>
      <c r="V4">
        <v>804.94529999999997</v>
      </c>
      <c r="W4">
        <v>776.54129999999998</v>
      </c>
      <c r="X4">
        <v>764.60440000000006</v>
      </c>
      <c r="Y4">
        <v>756.35559999999998</v>
      </c>
      <c r="Z4">
        <v>739.38589999999999</v>
      </c>
      <c r="AA4">
        <v>714.69539999999995</v>
      </c>
      <c r="AB4">
        <v>674.24760000000003</v>
      </c>
      <c r="AC4">
        <v>16.73828</v>
      </c>
      <c r="AD4">
        <v>16.45035</v>
      </c>
      <c r="AE4">
        <v>17.609100000000002</v>
      </c>
      <c r="AF4">
        <v>-8.5195799999999995</v>
      </c>
      <c r="AG4">
        <v>-40.666400000000003</v>
      </c>
      <c r="AH4">
        <v>-40.751820000000002</v>
      </c>
      <c r="AI4">
        <v>-3.9158930000000001</v>
      </c>
      <c r="AJ4">
        <v>25.785530000000001</v>
      </c>
      <c r="AK4">
        <v>2.0650040000000001</v>
      </c>
      <c r="AL4">
        <v>9.9614689999999992</v>
      </c>
      <c r="AM4">
        <v>2.5793490000000001</v>
      </c>
      <c r="AN4">
        <v>43.65889</v>
      </c>
      <c r="AO4">
        <v>92.971630000000005</v>
      </c>
      <c r="AP4">
        <v>87.071700000000007</v>
      </c>
      <c r="AQ4">
        <v>89.183729999999997</v>
      </c>
      <c r="AR4">
        <v>85.85615</v>
      </c>
      <c r="AS4">
        <v>91.779849999999996</v>
      </c>
      <c r="AT4">
        <v>85.041480000000007</v>
      </c>
      <c r="AU4">
        <v>79.353849999999994</v>
      </c>
      <c r="AV4">
        <v>74.952659999999995</v>
      </c>
      <c r="AW4">
        <v>24.156379999999999</v>
      </c>
      <c r="AX4">
        <v>18.677440000000001</v>
      </c>
      <c r="AY4">
        <v>8.7523230000000005</v>
      </c>
      <c r="AZ4">
        <v>-13.27106</v>
      </c>
      <c r="BA4">
        <v>18.532209999999999</v>
      </c>
      <c r="BB4">
        <v>18.12847</v>
      </c>
      <c r="BC4">
        <v>19.05706</v>
      </c>
      <c r="BD4">
        <v>-6.9512150000000004</v>
      </c>
      <c r="BE4">
        <v>-39.164169999999999</v>
      </c>
      <c r="BF4">
        <v>-39.32732</v>
      </c>
      <c r="BG4">
        <v>-2.1512190000000002</v>
      </c>
      <c r="BH4">
        <v>27.95148</v>
      </c>
      <c r="BI4">
        <v>4.0414560000000002</v>
      </c>
      <c r="BJ4">
        <v>12.385590000000001</v>
      </c>
      <c r="BK4">
        <v>4.8663150000000002</v>
      </c>
      <c r="BL4">
        <v>46.532069999999997</v>
      </c>
      <c r="BM4">
        <v>95.649609999999996</v>
      </c>
      <c r="BN4">
        <v>90.3035</v>
      </c>
      <c r="BO4">
        <v>92.668580000000006</v>
      </c>
      <c r="BP4">
        <v>89.121309999999994</v>
      </c>
      <c r="BQ4">
        <v>94.885400000000004</v>
      </c>
      <c r="BR4">
        <v>88.231430000000003</v>
      </c>
      <c r="BS4">
        <v>82.632869999999997</v>
      </c>
      <c r="BT4">
        <v>78.021289999999993</v>
      </c>
      <c r="BU4">
        <v>27.46097</v>
      </c>
      <c r="BV4">
        <v>22.115629999999999</v>
      </c>
      <c r="BW4">
        <v>12.30789</v>
      </c>
      <c r="BX4">
        <v>-10.832929999999999</v>
      </c>
      <c r="BY4">
        <v>19.77468</v>
      </c>
      <c r="BZ4">
        <v>19.29074</v>
      </c>
      <c r="CA4">
        <v>20.059909999999999</v>
      </c>
      <c r="CB4">
        <v>-5.8649699999999996</v>
      </c>
      <c r="CC4">
        <v>-38.123730000000002</v>
      </c>
      <c r="CD4">
        <v>-38.340719999999997</v>
      </c>
      <c r="CE4">
        <v>-0.92901149999999999</v>
      </c>
      <c r="CF4">
        <v>29.451619999999998</v>
      </c>
      <c r="CG4">
        <v>5.4103409999999998</v>
      </c>
      <c r="CH4">
        <v>14.06453</v>
      </c>
      <c r="CI4">
        <v>6.4502620000000004</v>
      </c>
      <c r="CJ4">
        <v>48.522019999999998</v>
      </c>
      <c r="CK4">
        <v>97.504379999999998</v>
      </c>
      <c r="CL4">
        <v>92.541830000000004</v>
      </c>
      <c r="CM4">
        <v>95.082179999999994</v>
      </c>
      <c r="CN4">
        <v>91.382750000000001</v>
      </c>
      <c r="CO4">
        <v>97.036289999999994</v>
      </c>
      <c r="CP4">
        <v>90.440780000000004</v>
      </c>
      <c r="CQ4">
        <v>84.903919999999999</v>
      </c>
      <c r="CR4">
        <v>80.146609999999995</v>
      </c>
      <c r="CS4">
        <v>29.74973</v>
      </c>
      <c r="CT4">
        <v>24.49691</v>
      </c>
      <c r="CU4">
        <v>14.77047</v>
      </c>
      <c r="CV4">
        <v>-9.1442829999999997</v>
      </c>
      <c r="CW4">
        <v>21.017150000000001</v>
      </c>
      <c r="CX4">
        <v>20.452999999999999</v>
      </c>
      <c r="CY4">
        <v>21.06277</v>
      </c>
      <c r="CZ4">
        <v>-4.7787249999999997</v>
      </c>
      <c r="DA4">
        <v>-37.083280000000002</v>
      </c>
      <c r="DB4">
        <v>-37.354120000000002</v>
      </c>
      <c r="DC4">
        <v>0.29319630000000002</v>
      </c>
      <c r="DD4">
        <v>30.95176</v>
      </c>
      <c r="DE4">
        <v>6.7792260000000004</v>
      </c>
      <c r="DF4">
        <v>15.74347</v>
      </c>
      <c r="DG4">
        <v>8.0342070000000003</v>
      </c>
      <c r="DH4">
        <v>50.511969999999998</v>
      </c>
      <c r="DI4">
        <v>99.35915</v>
      </c>
      <c r="DJ4">
        <v>94.780169999999998</v>
      </c>
      <c r="DK4">
        <v>97.495769999999993</v>
      </c>
      <c r="DL4">
        <v>93.644199999999998</v>
      </c>
      <c r="DM4">
        <v>99.187169999999995</v>
      </c>
      <c r="DN4">
        <v>92.650130000000004</v>
      </c>
      <c r="DO4">
        <v>87.174959999999999</v>
      </c>
      <c r="DP4">
        <v>82.271940000000001</v>
      </c>
      <c r="DQ4">
        <v>32.03848</v>
      </c>
      <c r="DR4">
        <v>26.87819</v>
      </c>
      <c r="DS4">
        <v>17.233049999999999</v>
      </c>
      <c r="DT4">
        <v>-7.4556399999999998</v>
      </c>
      <c r="DU4">
        <v>22.81109</v>
      </c>
      <c r="DV4">
        <v>22.131119999999999</v>
      </c>
      <c r="DW4">
        <v>22.510729999999999</v>
      </c>
      <c r="DX4">
        <v>-3.2103600000000001</v>
      </c>
      <c r="DY4">
        <v>-35.581049999999998</v>
      </c>
      <c r="DZ4">
        <v>-35.92962</v>
      </c>
      <c r="EA4">
        <v>2.0578699999999999</v>
      </c>
      <c r="EB4">
        <v>33.117710000000002</v>
      </c>
      <c r="EC4">
        <v>8.7556790000000007</v>
      </c>
      <c r="ED4">
        <v>18.1676</v>
      </c>
      <c r="EE4">
        <v>10.32117</v>
      </c>
      <c r="EF4">
        <v>53.385150000000003</v>
      </c>
      <c r="EG4">
        <v>102.0371</v>
      </c>
      <c r="EH4">
        <v>98.011960000000002</v>
      </c>
      <c r="EI4">
        <v>100.9806</v>
      </c>
      <c r="EJ4">
        <v>96.909360000000007</v>
      </c>
      <c r="EK4">
        <v>102.2927</v>
      </c>
      <c r="EL4">
        <v>95.84008</v>
      </c>
      <c r="EM4">
        <v>90.453980000000001</v>
      </c>
      <c r="EN4">
        <v>85.34057</v>
      </c>
      <c r="EO4">
        <v>35.343069999999997</v>
      </c>
      <c r="EP4">
        <v>30.316379999999999</v>
      </c>
      <c r="EQ4">
        <v>20.788620000000002</v>
      </c>
      <c r="ER4">
        <v>-5.0175070000000002</v>
      </c>
      <c r="ES4">
        <v>66.928439999999995</v>
      </c>
      <c r="ET4">
        <v>65.97148</v>
      </c>
      <c r="EU4">
        <v>64.63552</v>
      </c>
      <c r="EV4">
        <v>63.60774</v>
      </c>
      <c r="EW4">
        <v>63.029220000000002</v>
      </c>
      <c r="EX4">
        <v>63.009329999999999</v>
      </c>
      <c r="EY4">
        <v>65.336250000000007</v>
      </c>
      <c r="EZ4">
        <v>69.664199999999994</v>
      </c>
      <c r="FA4">
        <v>75.072829999999996</v>
      </c>
      <c r="FB4">
        <v>79.261899999999997</v>
      </c>
      <c r="FC4">
        <v>82.440510000000003</v>
      </c>
      <c r="FD4">
        <v>85.323899999999995</v>
      </c>
      <c r="FE4">
        <v>87.539680000000004</v>
      </c>
      <c r="FF4">
        <v>88.331959999999995</v>
      </c>
      <c r="FG4">
        <v>88.575389999999999</v>
      </c>
      <c r="FH4">
        <v>88.097200000000001</v>
      </c>
      <c r="FI4">
        <v>86.566640000000007</v>
      </c>
      <c r="FJ4">
        <v>83.826419999999999</v>
      </c>
      <c r="FK4">
        <v>80.491910000000004</v>
      </c>
      <c r="FL4">
        <v>77.687430000000006</v>
      </c>
      <c r="FM4">
        <v>76.221410000000006</v>
      </c>
      <c r="FN4">
        <v>74.819239999999994</v>
      </c>
      <c r="FO4">
        <v>73.020989999999998</v>
      </c>
      <c r="FP4">
        <v>71.852040000000002</v>
      </c>
      <c r="FQ4">
        <v>1</v>
      </c>
    </row>
    <row r="5" spans="1:173" x14ac:dyDescent="0.2">
      <c r="A5" t="s">
        <v>1</v>
      </c>
      <c r="B5" s="66">
        <v>41897</v>
      </c>
      <c r="C5">
        <v>521</v>
      </c>
      <c r="D5">
        <v>907</v>
      </c>
      <c r="E5">
        <v>652.23540000000003</v>
      </c>
      <c r="F5">
        <v>654.37869999999998</v>
      </c>
      <c r="G5">
        <v>647.86080000000004</v>
      </c>
      <c r="H5">
        <v>641.5942</v>
      </c>
      <c r="I5">
        <v>663.14300000000003</v>
      </c>
      <c r="J5">
        <v>709.7328</v>
      </c>
      <c r="K5">
        <v>771.05520000000001</v>
      </c>
      <c r="L5">
        <v>816.25840000000005</v>
      </c>
      <c r="M5">
        <v>848.95640000000003</v>
      </c>
      <c r="N5">
        <v>872.10990000000004</v>
      </c>
      <c r="O5">
        <v>873.68650000000002</v>
      </c>
      <c r="P5">
        <v>890.8365</v>
      </c>
      <c r="Q5">
        <v>886.33389999999997</v>
      </c>
      <c r="R5">
        <v>889.65210000000002</v>
      </c>
      <c r="S5">
        <v>874.03589999999997</v>
      </c>
      <c r="T5">
        <v>867.10140000000001</v>
      </c>
      <c r="U5">
        <v>850.59580000000005</v>
      </c>
      <c r="V5">
        <v>832.08969999999999</v>
      </c>
      <c r="W5">
        <v>795.78070000000002</v>
      </c>
      <c r="X5">
        <v>776.07709999999997</v>
      </c>
      <c r="Y5">
        <v>770.58169999999996</v>
      </c>
      <c r="Z5">
        <v>753.7826</v>
      </c>
      <c r="AA5">
        <v>730.71759999999995</v>
      </c>
      <c r="AB5">
        <v>691.92190000000005</v>
      </c>
      <c r="AC5">
        <v>25.056439999999998</v>
      </c>
      <c r="AD5">
        <v>25.11628</v>
      </c>
      <c r="AE5">
        <v>17.197140000000001</v>
      </c>
      <c r="AF5">
        <v>-32.960059999999999</v>
      </c>
      <c r="AG5">
        <v>-31.199850000000001</v>
      </c>
      <c r="AH5">
        <v>-38.089019999999998</v>
      </c>
      <c r="AI5">
        <v>-8.7329260000000009</v>
      </c>
      <c r="AJ5">
        <v>15.682029999999999</v>
      </c>
      <c r="AK5">
        <v>15.918469999999999</v>
      </c>
      <c r="AL5">
        <v>24.71491</v>
      </c>
      <c r="AM5">
        <v>72.144049999999993</v>
      </c>
      <c r="AN5">
        <v>102.8801</v>
      </c>
      <c r="AO5">
        <v>128.03059999999999</v>
      </c>
      <c r="AP5">
        <v>137.09899999999999</v>
      </c>
      <c r="AQ5">
        <v>116.41330000000001</v>
      </c>
      <c r="AR5">
        <v>126.3946</v>
      </c>
      <c r="AS5">
        <v>138.49359999999999</v>
      </c>
      <c r="AT5">
        <v>131.00049999999999</v>
      </c>
      <c r="AU5">
        <v>123.6123</v>
      </c>
      <c r="AV5">
        <v>85.62079</v>
      </c>
      <c r="AW5">
        <v>78.533820000000006</v>
      </c>
      <c r="AX5">
        <v>18.59592</v>
      </c>
      <c r="AY5">
        <v>3.8937710000000001</v>
      </c>
      <c r="AZ5">
        <v>-11.55768</v>
      </c>
      <c r="BA5">
        <v>30.167770000000001</v>
      </c>
      <c r="BB5">
        <v>29.913979999999999</v>
      </c>
      <c r="BC5">
        <v>20.85136</v>
      </c>
      <c r="BD5">
        <v>-27.96593</v>
      </c>
      <c r="BE5">
        <v>-26.903590000000001</v>
      </c>
      <c r="BF5">
        <v>-34.53349</v>
      </c>
      <c r="BG5">
        <v>-3.9652349999999998</v>
      </c>
      <c r="BH5">
        <v>20.204899999999999</v>
      </c>
      <c r="BI5">
        <v>20.272210000000001</v>
      </c>
      <c r="BJ5">
        <v>29.941780000000001</v>
      </c>
      <c r="BK5">
        <v>77.434600000000003</v>
      </c>
      <c r="BL5">
        <v>108.3583</v>
      </c>
      <c r="BM5">
        <v>133.57140000000001</v>
      </c>
      <c r="BN5">
        <v>142.44049999999999</v>
      </c>
      <c r="BO5">
        <v>122.0177</v>
      </c>
      <c r="BP5">
        <v>132.94280000000001</v>
      </c>
      <c r="BQ5">
        <v>143.9117</v>
      </c>
      <c r="BR5">
        <v>136.66300000000001</v>
      </c>
      <c r="BS5">
        <v>130.20849999999999</v>
      </c>
      <c r="BT5">
        <v>92.422719999999998</v>
      </c>
      <c r="BU5">
        <v>85.39658</v>
      </c>
      <c r="BV5">
        <v>25.31964</v>
      </c>
      <c r="BW5">
        <v>11.456939999999999</v>
      </c>
      <c r="BX5">
        <v>-5.2998019999999997</v>
      </c>
      <c r="BY5">
        <v>33.70787</v>
      </c>
      <c r="BZ5">
        <v>33.236849999999997</v>
      </c>
      <c r="CA5">
        <v>23.382259999999999</v>
      </c>
      <c r="CB5">
        <v>-24.507020000000001</v>
      </c>
      <c r="CC5">
        <v>-23.92802</v>
      </c>
      <c r="CD5">
        <v>-32.07094</v>
      </c>
      <c r="CE5">
        <v>-0.66314640000000002</v>
      </c>
      <c r="CF5">
        <v>23.337420000000002</v>
      </c>
      <c r="CG5">
        <v>23.287600000000001</v>
      </c>
      <c r="CH5">
        <v>33.561889999999998</v>
      </c>
      <c r="CI5">
        <v>81.098820000000003</v>
      </c>
      <c r="CJ5">
        <v>112.1524</v>
      </c>
      <c r="CK5">
        <v>137.40889999999999</v>
      </c>
      <c r="CL5">
        <v>146.13999999999999</v>
      </c>
      <c r="CM5">
        <v>125.8993</v>
      </c>
      <c r="CN5">
        <v>137.47800000000001</v>
      </c>
      <c r="CO5">
        <v>147.66419999999999</v>
      </c>
      <c r="CP5">
        <v>140.5848</v>
      </c>
      <c r="CQ5">
        <v>134.77699999999999</v>
      </c>
      <c r="CR5">
        <v>97.133719999999997</v>
      </c>
      <c r="CS5">
        <v>90.149709999999999</v>
      </c>
      <c r="CT5">
        <v>29.976469999999999</v>
      </c>
      <c r="CU5">
        <v>16.695170000000001</v>
      </c>
      <c r="CV5">
        <v>-0.96561350000000001</v>
      </c>
      <c r="CW5">
        <v>37.247959999999999</v>
      </c>
      <c r="CX5">
        <v>36.559719999999999</v>
      </c>
      <c r="CY5">
        <v>25.913160000000001</v>
      </c>
      <c r="CZ5">
        <v>-21.048110000000001</v>
      </c>
      <c r="DA5">
        <v>-20.952449999999999</v>
      </c>
      <c r="DB5">
        <v>-29.60839</v>
      </c>
      <c r="DC5">
        <v>2.6389420000000001</v>
      </c>
      <c r="DD5">
        <v>26.469940000000001</v>
      </c>
      <c r="DE5">
        <v>26.302980000000002</v>
      </c>
      <c r="DF5">
        <v>37.182000000000002</v>
      </c>
      <c r="DG5">
        <v>84.763030000000001</v>
      </c>
      <c r="DH5">
        <v>115.9465</v>
      </c>
      <c r="DI5">
        <v>141.24639999999999</v>
      </c>
      <c r="DJ5">
        <v>149.83949999999999</v>
      </c>
      <c r="DK5">
        <v>129.7809</v>
      </c>
      <c r="DL5">
        <v>142.01320000000001</v>
      </c>
      <c r="DM5">
        <v>151.41669999999999</v>
      </c>
      <c r="DN5">
        <v>144.50659999999999</v>
      </c>
      <c r="DO5">
        <v>139.34559999999999</v>
      </c>
      <c r="DP5">
        <v>101.8447</v>
      </c>
      <c r="DQ5">
        <v>94.902839999999998</v>
      </c>
      <c r="DR5">
        <v>34.633299999999998</v>
      </c>
      <c r="DS5">
        <v>21.933389999999999</v>
      </c>
      <c r="DT5">
        <v>3.3685749999999999</v>
      </c>
      <c r="DU5">
        <v>42.359290000000001</v>
      </c>
      <c r="DV5">
        <v>41.357419999999998</v>
      </c>
      <c r="DW5">
        <v>29.56738</v>
      </c>
      <c r="DX5">
        <v>-16.053979999999999</v>
      </c>
      <c r="DY5">
        <v>-16.656199999999998</v>
      </c>
      <c r="DZ5">
        <v>-26.052859999999999</v>
      </c>
      <c r="EA5">
        <v>7.4066340000000004</v>
      </c>
      <c r="EB5">
        <v>30.992809999999999</v>
      </c>
      <c r="EC5">
        <v>30.65672</v>
      </c>
      <c r="ED5">
        <v>42.40887</v>
      </c>
      <c r="EE5">
        <v>90.053579999999997</v>
      </c>
      <c r="EF5">
        <v>121.4246</v>
      </c>
      <c r="EG5">
        <v>146.78720000000001</v>
      </c>
      <c r="EH5">
        <v>155.18100000000001</v>
      </c>
      <c r="EI5">
        <v>135.3854</v>
      </c>
      <c r="EJ5">
        <v>148.56139999999999</v>
      </c>
      <c r="EK5">
        <v>156.8347</v>
      </c>
      <c r="EL5">
        <v>150.16909999999999</v>
      </c>
      <c r="EM5">
        <v>145.9418</v>
      </c>
      <c r="EN5">
        <v>108.6467</v>
      </c>
      <c r="EO5">
        <v>101.76560000000001</v>
      </c>
      <c r="EP5">
        <v>41.357019999999999</v>
      </c>
      <c r="EQ5">
        <v>29.496559999999999</v>
      </c>
      <c r="ER5">
        <v>9.6264559999999992</v>
      </c>
      <c r="ES5">
        <v>77.811359999999993</v>
      </c>
      <c r="ET5">
        <v>76.502520000000004</v>
      </c>
      <c r="EU5">
        <v>75.364829999999998</v>
      </c>
      <c r="EV5">
        <v>75.369339999999994</v>
      </c>
      <c r="EW5">
        <v>74.23254</v>
      </c>
      <c r="EX5">
        <v>73.238619999999997</v>
      </c>
      <c r="EY5">
        <v>75.656360000000006</v>
      </c>
      <c r="EZ5">
        <v>79.88879</v>
      </c>
      <c r="FA5">
        <v>84.469059999999999</v>
      </c>
      <c r="FB5">
        <v>88.750240000000005</v>
      </c>
      <c r="FC5">
        <v>91.795479999999998</v>
      </c>
      <c r="FD5">
        <v>93.473820000000003</v>
      </c>
      <c r="FE5">
        <v>94.301220000000001</v>
      </c>
      <c r="FF5">
        <v>95.37585</v>
      </c>
      <c r="FG5">
        <v>96.381529999999998</v>
      </c>
      <c r="FH5">
        <v>95.829409999999996</v>
      </c>
      <c r="FI5">
        <v>95.017070000000004</v>
      </c>
      <c r="FJ5">
        <v>92.21508</v>
      </c>
      <c r="FK5">
        <v>88.403840000000002</v>
      </c>
      <c r="FL5">
        <v>86.256349999999998</v>
      </c>
      <c r="FM5">
        <v>84.387339999999995</v>
      </c>
      <c r="FN5">
        <v>83.138909999999996</v>
      </c>
      <c r="FO5">
        <v>81.855220000000003</v>
      </c>
      <c r="FP5">
        <v>80.801119999999997</v>
      </c>
      <c r="FQ5">
        <v>1</v>
      </c>
    </row>
    <row r="6" spans="1:173" x14ac:dyDescent="0.2">
      <c r="A6" t="s">
        <v>1</v>
      </c>
      <c r="B6" s="66">
        <v>41899</v>
      </c>
      <c r="C6">
        <v>528</v>
      </c>
      <c r="D6">
        <v>906</v>
      </c>
      <c r="E6">
        <v>683.33759999999995</v>
      </c>
      <c r="F6">
        <v>678.33450000000005</v>
      </c>
      <c r="G6">
        <v>665.25030000000004</v>
      </c>
      <c r="H6">
        <v>656.81960000000004</v>
      </c>
      <c r="I6">
        <v>669.50340000000006</v>
      </c>
      <c r="J6">
        <v>712.98820000000001</v>
      </c>
      <c r="K6">
        <v>781.47019999999998</v>
      </c>
      <c r="L6">
        <v>819.12850000000003</v>
      </c>
      <c r="M6">
        <v>855.9171</v>
      </c>
      <c r="N6">
        <v>881.80460000000005</v>
      </c>
      <c r="O6">
        <v>879.37900000000002</v>
      </c>
      <c r="P6">
        <v>887.25729999999999</v>
      </c>
      <c r="Q6">
        <v>873.27210000000002</v>
      </c>
      <c r="R6">
        <v>866.20090000000005</v>
      </c>
      <c r="S6">
        <v>852.13170000000002</v>
      </c>
      <c r="T6">
        <v>842.64480000000003</v>
      </c>
      <c r="U6">
        <v>832.30790000000002</v>
      </c>
      <c r="V6">
        <v>810.15359999999998</v>
      </c>
      <c r="W6">
        <v>777.31179999999995</v>
      </c>
      <c r="X6">
        <v>762.38900000000001</v>
      </c>
      <c r="Y6">
        <v>766.16330000000005</v>
      </c>
      <c r="Z6">
        <v>751.42600000000004</v>
      </c>
      <c r="AA6">
        <v>724.30989999999997</v>
      </c>
      <c r="AB6">
        <v>685.29549999999995</v>
      </c>
      <c r="AC6">
        <v>26.080110000000001</v>
      </c>
      <c r="AD6">
        <v>25.22702</v>
      </c>
      <c r="AE6">
        <v>7.6514220000000002</v>
      </c>
      <c r="AF6">
        <v>-27.68561</v>
      </c>
      <c r="AG6">
        <v>-44.430889999999998</v>
      </c>
      <c r="AH6">
        <v>-38.28736</v>
      </c>
      <c r="AI6">
        <v>-25.099070000000001</v>
      </c>
      <c r="AJ6">
        <v>-9.2983670000000007</v>
      </c>
      <c r="AK6">
        <v>24.21733</v>
      </c>
      <c r="AL6">
        <v>1.691255</v>
      </c>
      <c r="AM6">
        <v>-16.18131</v>
      </c>
      <c r="AN6">
        <v>60.040199999999999</v>
      </c>
      <c r="AO6">
        <v>97.436409999999995</v>
      </c>
      <c r="AP6">
        <v>101.49420000000001</v>
      </c>
      <c r="AQ6">
        <v>98.807590000000005</v>
      </c>
      <c r="AR6">
        <v>109.6489</v>
      </c>
      <c r="AS6">
        <v>114.1571</v>
      </c>
      <c r="AT6">
        <v>108.9811</v>
      </c>
      <c r="AU6">
        <v>100.0763</v>
      </c>
      <c r="AV6">
        <v>81.626170000000002</v>
      </c>
      <c r="AW6">
        <v>40.106760000000001</v>
      </c>
      <c r="AX6">
        <v>30.042770000000001</v>
      </c>
      <c r="AY6">
        <v>54.919400000000003</v>
      </c>
      <c r="AZ6">
        <v>25.981729999999999</v>
      </c>
      <c r="BA6">
        <v>30.978909999999999</v>
      </c>
      <c r="BB6">
        <v>30.1279</v>
      </c>
      <c r="BC6">
        <v>10.859690000000001</v>
      </c>
      <c r="BD6">
        <v>-22.905750000000001</v>
      </c>
      <c r="BE6">
        <v>-40.22081</v>
      </c>
      <c r="BF6">
        <v>-34.77281</v>
      </c>
      <c r="BG6">
        <v>-21.180209999999999</v>
      </c>
      <c r="BH6">
        <v>-5.7723820000000003</v>
      </c>
      <c r="BI6">
        <v>27.32207</v>
      </c>
      <c r="BJ6">
        <v>5.3427610000000003</v>
      </c>
      <c r="BK6">
        <v>-11.9117</v>
      </c>
      <c r="BL6">
        <v>64.132800000000003</v>
      </c>
      <c r="BM6">
        <v>101.8258</v>
      </c>
      <c r="BN6">
        <v>106.2021</v>
      </c>
      <c r="BO6">
        <v>103.65170000000001</v>
      </c>
      <c r="BP6">
        <v>114.646</v>
      </c>
      <c r="BQ6">
        <v>118.7033</v>
      </c>
      <c r="BR6">
        <v>114.2448</v>
      </c>
      <c r="BS6">
        <v>105.8038</v>
      </c>
      <c r="BT6">
        <v>87.547190000000001</v>
      </c>
      <c r="BU6">
        <v>45.454650000000001</v>
      </c>
      <c r="BV6">
        <v>34.959800000000001</v>
      </c>
      <c r="BW6">
        <v>59.260309999999997</v>
      </c>
      <c r="BX6">
        <v>29.68749</v>
      </c>
      <c r="BY6">
        <v>34.3718</v>
      </c>
      <c r="BZ6">
        <v>33.52223</v>
      </c>
      <c r="CA6">
        <v>13.081720000000001</v>
      </c>
      <c r="CB6">
        <v>-19.59524</v>
      </c>
      <c r="CC6">
        <v>-37.304920000000003</v>
      </c>
      <c r="CD6">
        <v>-32.338630000000002</v>
      </c>
      <c r="CE6">
        <v>-18.46603</v>
      </c>
      <c r="CF6">
        <v>-3.330295</v>
      </c>
      <c r="CG6">
        <v>29.47241</v>
      </c>
      <c r="CH6">
        <v>7.8717819999999996</v>
      </c>
      <c r="CI6">
        <v>-8.9545790000000007</v>
      </c>
      <c r="CJ6">
        <v>66.967320000000001</v>
      </c>
      <c r="CK6">
        <v>104.86579999999999</v>
      </c>
      <c r="CL6">
        <v>109.4629</v>
      </c>
      <c r="CM6">
        <v>107.0067</v>
      </c>
      <c r="CN6">
        <v>118.107</v>
      </c>
      <c r="CO6">
        <v>121.852</v>
      </c>
      <c r="CP6">
        <v>117.8904</v>
      </c>
      <c r="CQ6">
        <v>109.77070000000001</v>
      </c>
      <c r="CR6">
        <v>91.648060000000001</v>
      </c>
      <c r="CS6">
        <v>49.158589999999997</v>
      </c>
      <c r="CT6">
        <v>38.365310000000001</v>
      </c>
      <c r="CU6">
        <v>62.266820000000003</v>
      </c>
      <c r="CV6">
        <v>32.254089999999998</v>
      </c>
      <c r="CW6">
        <v>37.764690000000002</v>
      </c>
      <c r="CX6">
        <v>36.916559999999997</v>
      </c>
      <c r="CY6">
        <v>15.303750000000001</v>
      </c>
      <c r="CZ6">
        <v>-16.28473</v>
      </c>
      <c r="DA6">
        <v>-34.389020000000002</v>
      </c>
      <c r="DB6">
        <v>-29.90446</v>
      </c>
      <c r="DC6">
        <v>-15.75184</v>
      </c>
      <c r="DD6">
        <v>-0.8882082</v>
      </c>
      <c r="DE6">
        <v>31.62274</v>
      </c>
      <c r="DF6">
        <v>10.4008</v>
      </c>
      <c r="DG6">
        <v>-5.9974610000000004</v>
      </c>
      <c r="DH6">
        <v>69.801850000000002</v>
      </c>
      <c r="DI6">
        <v>107.9059</v>
      </c>
      <c r="DJ6">
        <v>112.7236</v>
      </c>
      <c r="DK6">
        <v>110.3617</v>
      </c>
      <c r="DL6">
        <v>121.568</v>
      </c>
      <c r="DM6">
        <v>125.00060000000001</v>
      </c>
      <c r="DN6">
        <v>121.5361</v>
      </c>
      <c r="DO6">
        <v>113.7376</v>
      </c>
      <c r="DP6">
        <v>95.748940000000005</v>
      </c>
      <c r="DQ6">
        <v>52.862520000000004</v>
      </c>
      <c r="DR6">
        <v>41.770829999999997</v>
      </c>
      <c r="DS6">
        <v>65.273319999999998</v>
      </c>
      <c r="DT6">
        <v>34.820689999999999</v>
      </c>
      <c r="DU6">
        <v>42.663490000000003</v>
      </c>
      <c r="DV6">
        <v>41.817439999999998</v>
      </c>
      <c r="DW6">
        <v>18.51202</v>
      </c>
      <c r="DX6">
        <v>-11.50487</v>
      </c>
      <c r="DY6">
        <v>-30.178940000000001</v>
      </c>
      <c r="DZ6">
        <v>-26.389900000000001</v>
      </c>
      <c r="EA6">
        <v>-11.832979999999999</v>
      </c>
      <c r="EB6">
        <v>2.6377769999999998</v>
      </c>
      <c r="EC6">
        <v>34.727490000000003</v>
      </c>
      <c r="ED6">
        <v>14.05231</v>
      </c>
      <c r="EE6">
        <v>-1.7278519999999999</v>
      </c>
      <c r="EF6">
        <v>73.894450000000006</v>
      </c>
      <c r="EG6">
        <v>112.2953</v>
      </c>
      <c r="EH6">
        <v>117.4316</v>
      </c>
      <c r="EI6">
        <v>115.2058</v>
      </c>
      <c r="EJ6">
        <v>126.5652</v>
      </c>
      <c r="EK6">
        <v>129.54679999999999</v>
      </c>
      <c r="EL6">
        <v>126.7998</v>
      </c>
      <c r="EM6">
        <v>119.46510000000001</v>
      </c>
      <c r="EN6">
        <v>101.67</v>
      </c>
      <c r="EO6">
        <v>58.210419999999999</v>
      </c>
      <c r="EP6">
        <v>46.687860000000001</v>
      </c>
      <c r="EQ6">
        <v>69.614230000000006</v>
      </c>
      <c r="ER6">
        <v>38.526449999999997</v>
      </c>
      <c r="ES6">
        <v>79.265900000000002</v>
      </c>
      <c r="ET6">
        <v>77.797529999999995</v>
      </c>
      <c r="EU6">
        <v>76.622349999999997</v>
      </c>
      <c r="EV6">
        <v>76.081339999999997</v>
      </c>
      <c r="EW6">
        <v>76.162629999999993</v>
      </c>
      <c r="EX6">
        <v>75.885409999999993</v>
      </c>
      <c r="EY6">
        <v>77.496219999999994</v>
      </c>
      <c r="EZ6">
        <v>81.535839999999993</v>
      </c>
      <c r="FA6">
        <v>85.673419999999993</v>
      </c>
      <c r="FB6">
        <v>88.40128</v>
      </c>
      <c r="FC6">
        <v>89.751140000000007</v>
      </c>
      <c r="FD6">
        <v>90.672499999999999</v>
      </c>
      <c r="FE6">
        <v>91.386049999999997</v>
      </c>
      <c r="FF6">
        <v>91.256460000000004</v>
      </c>
      <c r="FG6">
        <v>91.241470000000007</v>
      </c>
      <c r="FH6">
        <v>90.459400000000002</v>
      </c>
      <c r="FI6">
        <v>88.4268</v>
      </c>
      <c r="FJ6">
        <v>84.685599999999994</v>
      </c>
      <c r="FK6">
        <v>81.385059999999996</v>
      </c>
      <c r="FL6">
        <v>79.194209999999998</v>
      </c>
      <c r="FM6">
        <v>77.220969999999994</v>
      </c>
      <c r="FN6">
        <v>75.860950000000003</v>
      </c>
      <c r="FO6">
        <v>74.569599999999994</v>
      </c>
      <c r="FP6">
        <v>73.33135</v>
      </c>
      <c r="FQ6">
        <v>1</v>
      </c>
    </row>
    <row r="7" spans="1:173" x14ac:dyDescent="0.2">
      <c r="A7" t="s">
        <v>1</v>
      </c>
      <c r="B7" s="66">
        <v>41914</v>
      </c>
      <c r="C7">
        <v>512</v>
      </c>
      <c r="D7">
        <v>907</v>
      </c>
      <c r="E7">
        <v>622.81539999999995</v>
      </c>
      <c r="F7">
        <v>616.28</v>
      </c>
      <c r="G7">
        <v>613.07950000000005</v>
      </c>
      <c r="H7">
        <v>613.80129999999997</v>
      </c>
      <c r="I7">
        <v>630.60109999999997</v>
      </c>
      <c r="J7">
        <v>660.38919999999996</v>
      </c>
      <c r="K7">
        <v>697.40880000000004</v>
      </c>
      <c r="L7">
        <v>714.65139999999997</v>
      </c>
      <c r="M7">
        <v>729.62739999999997</v>
      </c>
      <c r="N7">
        <v>751.36189999999999</v>
      </c>
      <c r="O7">
        <v>769.41600000000005</v>
      </c>
      <c r="P7">
        <v>778.90440000000001</v>
      </c>
      <c r="Q7">
        <v>782.48770000000002</v>
      </c>
      <c r="R7">
        <v>785.70749999999998</v>
      </c>
      <c r="S7">
        <v>785.24990000000003</v>
      </c>
      <c r="T7">
        <v>772.48379999999997</v>
      </c>
      <c r="U7">
        <v>762.2473</v>
      </c>
      <c r="V7">
        <v>750.03560000000004</v>
      </c>
      <c r="W7">
        <v>715.37649999999996</v>
      </c>
      <c r="X7">
        <v>696.96939999999995</v>
      </c>
      <c r="Y7">
        <v>684.59379999999999</v>
      </c>
      <c r="Z7">
        <v>673.56600000000003</v>
      </c>
      <c r="AA7">
        <v>653.3347</v>
      </c>
      <c r="AB7">
        <v>635.13810000000001</v>
      </c>
      <c r="AC7">
        <v>-5.4055020000000003</v>
      </c>
      <c r="AD7">
        <v>-3.7991730000000001</v>
      </c>
      <c r="AE7">
        <v>0.52484039999999998</v>
      </c>
      <c r="AF7">
        <v>2.8407900000000001</v>
      </c>
      <c r="AG7">
        <v>1.2191399999999999</v>
      </c>
      <c r="AH7">
        <v>2.7207430000000001</v>
      </c>
      <c r="AI7">
        <v>-0.52134420000000004</v>
      </c>
      <c r="AJ7">
        <v>-2.7414670000000001</v>
      </c>
      <c r="AK7">
        <v>-5.3007299999999997</v>
      </c>
      <c r="AL7">
        <v>-7.6389969999999998</v>
      </c>
      <c r="AM7">
        <v>-3.4363540000000001</v>
      </c>
      <c r="AN7">
        <v>18.652979999999999</v>
      </c>
      <c r="AO7">
        <v>74.927509999999998</v>
      </c>
      <c r="AP7">
        <v>76.128249999999994</v>
      </c>
      <c r="AQ7">
        <v>75.211500000000001</v>
      </c>
      <c r="AR7">
        <v>71.254320000000007</v>
      </c>
      <c r="AS7">
        <v>68.441199999999995</v>
      </c>
      <c r="AT7">
        <v>66.6875</v>
      </c>
      <c r="AU7">
        <v>58.402889999999999</v>
      </c>
      <c r="AV7">
        <v>54.381709999999998</v>
      </c>
      <c r="AW7">
        <v>29.629049999999999</v>
      </c>
      <c r="AX7">
        <v>19.698070000000001</v>
      </c>
      <c r="AY7">
        <v>6.9990069999999998</v>
      </c>
      <c r="AZ7">
        <v>4.0449659999999996</v>
      </c>
      <c r="BA7">
        <v>-2.6959309999999999</v>
      </c>
      <c r="BB7">
        <v>-1.3455820000000001</v>
      </c>
      <c r="BC7">
        <v>2.3439749999999999</v>
      </c>
      <c r="BD7">
        <v>4.798006</v>
      </c>
      <c r="BE7">
        <v>3.5266449999999998</v>
      </c>
      <c r="BF7">
        <v>3.9510969999999999</v>
      </c>
      <c r="BG7">
        <v>1.6823680000000001</v>
      </c>
      <c r="BH7">
        <v>-0.1148907</v>
      </c>
      <c r="BI7">
        <v>-2.2557619999999998</v>
      </c>
      <c r="BJ7">
        <v>-3.3890980000000002</v>
      </c>
      <c r="BK7">
        <v>0.25929259999999998</v>
      </c>
      <c r="BL7">
        <v>23.089639999999999</v>
      </c>
      <c r="BM7">
        <v>78.778450000000007</v>
      </c>
      <c r="BN7">
        <v>80.027919999999995</v>
      </c>
      <c r="BO7">
        <v>79.174319999999994</v>
      </c>
      <c r="BP7">
        <v>75.441820000000007</v>
      </c>
      <c r="BQ7">
        <v>72.690529999999995</v>
      </c>
      <c r="BR7">
        <v>71.347269999999995</v>
      </c>
      <c r="BS7">
        <v>63.514940000000003</v>
      </c>
      <c r="BT7">
        <v>59.826549999999997</v>
      </c>
      <c r="BU7">
        <v>35.366030000000002</v>
      </c>
      <c r="BV7">
        <v>26.377960000000002</v>
      </c>
      <c r="BW7">
        <v>13.46941</v>
      </c>
      <c r="BX7">
        <v>8.3922410000000003</v>
      </c>
      <c r="BY7">
        <v>-0.81929030000000003</v>
      </c>
      <c r="BZ7">
        <v>0.35376859999999999</v>
      </c>
      <c r="CA7">
        <v>3.603901</v>
      </c>
      <c r="CB7">
        <v>6.1535679999999999</v>
      </c>
      <c r="CC7">
        <v>5.124816</v>
      </c>
      <c r="CD7">
        <v>4.8032370000000002</v>
      </c>
      <c r="CE7">
        <v>3.208653</v>
      </c>
      <c r="CF7">
        <v>1.7042679999999999</v>
      </c>
      <c r="CG7">
        <v>-0.1468264</v>
      </c>
      <c r="CH7">
        <v>-0.44563140000000001</v>
      </c>
      <c r="CI7">
        <v>2.818886</v>
      </c>
      <c r="CJ7">
        <v>26.162459999999999</v>
      </c>
      <c r="CK7">
        <v>81.445589999999996</v>
      </c>
      <c r="CL7">
        <v>82.728830000000002</v>
      </c>
      <c r="CM7">
        <v>81.918949999999995</v>
      </c>
      <c r="CN7">
        <v>78.342060000000004</v>
      </c>
      <c r="CO7">
        <v>75.633600000000001</v>
      </c>
      <c r="CP7">
        <v>74.574619999999996</v>
      </c>
      <c r="CQ7">
        <v>67.055530000000005</v>
      </c>
      <c r="CR7">
        <v>63.597639999999998</v>
      </c>
      <c r="CS7">
        <v>39.339440000000003</v>
      </c>
      <c r="CT7">
        <v>31.004439999999999</v>
      </c>
      <c r="CU7">
        <v>17.950790000000001</v>
      </c>
      <c r="CV7">
        <v>11.40315</v>
      </c>
      <c r="CW7">
        <v>1.05735</v>
      </c>
      <c r="CX7">
        <v>2.0531190000000001</v>
      </c>
      <c r="CY7">
        <v>4.8638279999999998</v>
      </c>
      <c r="CZ7">
        <v>7.5091299999999999</v>
      </c>
      <c r="DA7">
        <v>6.722988</v>
      </c>
      <c r="DB7">
        <v>5.6553769999999997</v>
      </c>
      <c r="DC7">
        <v>4.7349379999999996</v>
      </c>
      <c r="DD7">
        <v>3.5234269999999999</v>
      </c>
      <c r="DE7">
        <v>1.9621090000000001</v>
      </c>
      <c r="DF7">
        <v>2.4978349999999998</v>
      </c>
      <c r="DG7">
        <v>5.3784799999999997</v>
      </c>
      <c r="DH7">
        <v>29.235279999999999</v>
      </c>
      <c r="DI7">
        <v>84.112740000000002</v>
      </c>
      <c r="DJ7">
        <v>85.429730000000006</v>
      </c>
      <c r="DK7">
        <v>84.663589999999999</v>
      </c>
      <c r="DL7">
        <v>81.242310000000003</v>
      </c>
      <c r="DM7">
        <v>78.576669999999993</v>
      </c>
      <c r="DN7">
        <v>77.801959999999994</v>
      </c>
      <c r="DO7">
        <v>70.596119999999999</v>
      </c>
      <c r="DP7">
        <v>67.368719999999996</v>
      </c>
      <c r="DQ7">
        <v>43.312849999999997</v>
      </c>
      <c r="DR7">
        <v>35.630920000000003</v>
      </c>
      <c r="DS7">
        <v>22.432179999999999</v>
      </c>
      <c r="DT7">
        <v>14.414059999999999</v>
      </c>
      <c r="DU7">
        <v>3.766921</v>
      </c>
      <c r="DV7">
        <v>4.5067110000000001</v>
      </c>
      <c r="DW7">
        <v>6.6829619999999998</v>
      </c>
      <c r="DX7">
        <v>9.4663470000000007</v>
      </c>
      <c r="DY7">
        <v>9.0304929999999999</v>
      </c>
      <c r="DZ7">
        <v>6.8857309999999998</v>
      </c>
      <c r="EA7">
        <v>6.93865</v>
      </c>
      <c r="EB7">
        <v>6.1500019999999997</v>
      </c>
      <c r="EC7">
        <v>5.0070779999999999</v>
      </c>
      <c r="ED7">
        <v>6.7477340000000003</v>
      </c>
      <c r="EE7">
        <v>9.0741259999999997</v>
      </c>
      <c r="EF7">
        <v>33.671939999999999</v>
      </c>
      <c r="EG7">
        <v>87.963679999999997</v>
      </c>
      <c r="EH7">
        <v>89.329409999999996</v>
      </c>
      <c r="EI7">
        <v>88.626400000000004</v>
      </c>
      <c r="EJ7">
        <v>85.429810000000003</v>
      </c>
      <c r="EK7">
        <v>82.825999999999993</v>
      </c>
      <c r="EL7">
        <v>82.461730000000003</v>
      </c>
      <c r="EM7">
        <v>75.708179999999999</v>
      </c>
      <c r="EN7">
        <v>72.813559999999995</v>
      </c>
      <c r="EO7">
        <v>49.049840000000003</v>
      </c>
      <c r="EP7">
        <v>42.310809999999996</v>
      </c>
      <c r="EQ7">
        <v>28.90258</v>
      </c>
      <c r="ER7">
        <v>18.761340000000001</v>
      </c>
      <c r="ES7">
        <v>64.761960000000002</v>
      </c>
      <c r="ET7">
        <v>63.49924</v>
      </c>
      <c r="EU7">
        <v>62.975859999999997</v>
      </c>
      <c r="EV7">
        <v>62.130980000000001</v>
      </c>
      <c r="EW7">
        <v>62.288649999999997</v>
      </c>
      <c r="EX7">
        <v>61.679690000000001</v>
      </c>
      <c r="EY7">
        <v>61.885449999999999</v>
      </c>
      <c r="EZ7">
        <v>63.612630000000003</v>
      </c>
      <c r="FA7">
        <v>69.523619999999994</v>
      </c>
      <c r="FB7">
        <v>75.828400000000002</v>
      </c>
      <c r="FC7">
        <v>81.551739999999995</v>
      </c>
      <c r="FD7">
        <v>85.502089999999995</v>
      </c>
      <c r="FE7">
        <v>87.860309999999998</v>
      </c>
      <c r="FF7">
        <v>89.157349999999994</v>
      </c>
      <c r="FG7">
        <v>89.553749999999994</v>
      </c>
      <c r="FH7">
        <v>90.034779999999998</v>
      </c>
      <c r="FI7">
        <v>89.586889999999997</v>
      </c>
      <c r="FJ7">
        <v>88.08775</v>
      </c>
      <c r="FK7">
        <v>83.830650000000006</v>
      </c>
      <c r="FL7">
        <v>79.926540000000003</v>
      </c>
      <c r="FM7">
        <v>77.034400000000005</v>
      </c>
      <c r="FN7">
        <v>74.278739999999999</v>
      </c>
      <c r="FO7">
        <v>71.993930000000006</v>
      </c>
      <c r="FP7">
        <v>69.94359</v>
      </c>
      <c r="FQ7">
        <v>1</v>
      </c>
    </row>
    <row r="8" spans="1:173" x14ac:dyDescent="0.2">
      <c r="A8" t="s">
        <v>1</v>
      </c>
      <c r="B8" s="66">
        <v>41918</v>
      </c>
      <c r="C8">
        <v>524</v>
      </c>
      <c r="D8">
        <v>907</v>
      </c>
      <c r="E8">
        <v>563.23940000000005</v>
      </c>
      <c r="F8">
        <v>566.78719999999998</v>
      </c>
      <c r="G8">
        <v>566.30880000000002</v>
      </c>
      <c r="H8">
        <v>566.90949999999998</v>
      </c>
      <c r="I8">
        <v>587.06979999999999</v>
      </c>
      <c r="J8">
        <v>620.31600000000003</v>
      </c>
      <c r="K8">
        <v>662.04880000000003</v>
      </c>
      <c r="L8">
        <v>685.72910000000002</v>
      </c>
      <c r="M8">
        <v>708.77970000000005</v>
      </c>
      <c r="N8">
        <v>730.72659999999996</v>
      </c>
      <c r="O8">
        <v>749.48630000000003</v>
      </c>
      <c r="P8">
        <v>759.57339999999999</v>
      </c>
      <c r="Q8">
        <v>764.46929999999998</v>
      </c>
      <c r="R8">
        <v>773.1585</v>
      </c>
      <c r="S8">
        <v>777.13890000000004</v>
      </c>
      <c r="T8">
        <v>766.16909999999996</v>
      </c>
      <c r="U8">
        <v>751.19119999999998</v>
      </c>
      <c r="V8">
        <v>737.69839999999999</v>
      </c>
      <c r="W8">
        <v>708.89840000000004</v>
      </c>
      <c r="X8">
        <v>690.42809999999997</v>
      </c>
      <c r="Y8">
        <v>682.23829999999998</v>
      </c>
      <c r="Z8">
        <v>667.18129999999996</v>
      </c>
      <c r="AA8">
        <v>640.88789999999995</v>
      </c>
      <c r="AB8">
        <v>625.22990000000004</v>
      </c>
      <c r="AC8">
        <v>16.009830000000001</v>
      </c>
      <c r="AD8">
        <v>17.00442</v>
      </c>
      <c r="AE8">
        <v>13.005039999999999</v>
      </c>
      <c r="AF8">
        <v>10.669639999999999</v>
      </c>
      <c r="AG8">
        <v>19.25422</v>
      </c>
      <c r="AH8">
        <v>24.863769999999999</v>
      </c>
      <c r="AI8">
        <v>22.146820000000002</v>
      </c>
      <c r="AJ8">
        <v>17.603459999999998</v>
      </c>
      <c r="AK8">
        <v>15.24175</v>
      </c>
      <c r="AL8">
        <v>11.995189999999999</v>
      </c>
      <c r="AM8">
        <v>7.8766179999999997</v>
      </c>
      <c r="AN8">
        <v>17.116050000000001</v>
      </c>
      <c r="AO8">
        <v>43.434950000000001</v>
      </c>
      <c r="AP8">
        <v>43.619329999999998</v>
      </c>
      <c r="AQ8">
        <v>38.859549999999999</v>
      </c>
      <c r="AR8">
        <v>43.93338</v>
      </c>
      <c r="AS8">
        <v>44.44182</v>
      </c>
      <c r="AT8">
        <v>44.688879999999997</v>
      </c>
      <c r="AU8">
        <v>43.6113</v>
      </c>
      <c r="AV8">
        <v>39.852910000000001</v>
      </c>
      <c r="AW8">
        <v>21.445709999999998</v>
      </c>
      <c r="AX8">
        <v>7.0655849999999996</v>
      </c>
      <c r="AY8">
        <v>-0.53965680000000005</v>
      </c>
      <c r="AZ8">
        <v>-0.42809809999999998</v>
      </c>
      <c r="BA8">
        <v>18.803640000000001</v>
      </c>
      <c r="BB8">
        <v>19.59768</v>
      </c>
      <c r="BC8">
        <v>15.243410000000001</v>
      </c>
      <c r="BD8">
        <v>13.129630000000001</v>
      </c>
      <c r="BE8">
        <v>21.700150000000001</v>
      </c>
      <c r="BF8">
        <v>26.950489999999999</v>
      </c>
      <c r="BG8">
        <v>26.39808</v>
      </c>
      <c r="BH8">
        <v>22.53969</v>
      </c>
      <c r="BI8">
        <v>18.970500000000001</v>
      </c>
      <c r="BJ8">
        <v>16.255759999999999</v>
      </c>
      <c r="BK8">
        <v>12.37321</v>
      </c>
      <c r="BL8">
        <v>21.75657</v>
      </c>
      <c r="BM8">
        <v>48.190049999999999</v>
      </c>
      <c r="BN8">
        <v>48.355159999999998</v>
      </c>
      <c r="BO8">
        <v>43.606830000000002</v>
      </c>
      <c r="BP8">
        <v>49.037869999999998</v>
      </c>
      <c r="BQ8">
        <v>49.043570000000003</v>
      </c>
      <c r="BR8">
        <v>49.507060000000003</v>
      </c>
      <c r="BS8">
        <v>49.027320000000003</v>
      </c>
      <c r="BT8">
        <v>45.266069999999999</v>
      </c>
      <c r="BU8">
        <v>27.111450000000001</v>
      </c>
      <c r="BV8">
        <v>13.098129999999999</v>
      </c>
      <c r="BW8">
        <v>5.2953520000000003</v>
      </c>
      <c r="BX8">
        <v>4.384455</v>
      </c>
      <c r="BY8">
        <v>20.738620000000001</v>
      </c>
      <c r="BZ8">
        <v>21.39377</v>
      </c>
      <c r="CA8">
        <v>16.793700000000001</v>
      </c>
      <c r="CB8">
        <v>14.833399999999999</v>
      </c>
      <c r="CC8">
        <v>23.394200000000001</v>
      </c>
      <c r="CD8">
        <v>28.39575</v>
      </c>
      <c r="CE8">
        <v>29.342500000000001</v>
      </c>
      <c r="CF8">
        <v>25.95851</v>
      </c>
      <c r="CG8">
        <v>21.55303</v>
      </c>
      <c r="CH8">
        <v>19.206620000000001</v>
      </c>
      <c r="CI8">
        <v>15.487539999999999</v>
      </c>
      <c r="CJ8">
        <v>24.970580000000002</v>
      </c>
      <c r="CK8">
        <v>51.483420000000002</v>
      </c>
      <c r="CL8">
        <v>51.635190000000001</v>
      </c>
      <c r="CM8">
        <v>46.89479</v>
      </c>
      <c r="CN8">
        <v>52.573230000000002</v>
      </c>
      <c r="CO8">
        <v>52.230719999999998</v>
      </c>
      <c r="CP8">
        <v>52.844119999999997</v>
      </c>
      <c r="CQ8">
        <v>52.778449999999999</v>
      </c>
      <c r="CR8">
        <v>49.015210000000003</v>
      </c>
      <c r="CS8">
        <v>31.035520000000002</v>
      </c>
      <c r="CT8">
        <v>17.276250000000001</v>
      </c>
      <c r="CU8">
        <v>9.3366609999999994</v>
      </c>
      <c r="CV8">
        <v>7.7176150000000003</v>
      </c>
      <c r="CW8">
        <v>22.6736</v>
      </c>
      <c r="CX8">
        <v>23.18985</v>
      </c>
      <c r="CY8">
        <v>18.343979999999998</v>
      </c>
      <c r="CZ8">
        <v>16.537179999999999</v>
      </c>
      <c r="DA8">
        <v>25.088249999999999</v>
      </c>
      <c r="DB8">
        <v>29.841010000000001</v>
      </c>
      <c r="DC8">
        <v>32.286909999999999</v>
      </c>
      <c r="DD8">
        <v>29.377330000000001</v>
      </c>
      <c r="DE8">
        <v>24.135560000000002</v>
      </c>
      <c r="DF8">
        <v>22.15747</v>
      </c>
      <c r="DG8">
        <v>18.601870000000002</v>
      </c>
      <c r="DH8">
        <v>28.18458</v>
      </c>
      <c r="DI8">
        <v>54.776780000000002</v>
      </c>
      <c r="DJ8">
        <v>54.915210000000002</v>
      </c>
      <c r="DK8">
        <v>50.182749999999999</v>
      </c>
      <c r="DL8">
        <v>56.10859</v>
      </c>
      <c r="DM8">
        <v>55.417879999999997</v>
      </c>
      <c r="DN8">
        <v>56.181179999999998</v>
      </c>
      <c r="DO8">
        <v>56.529580000000003</v>
      </c>
      <c r="DP8">
        <v>52.76435</v>
      </c>
      <c r="DQ8">
        <v>34.959589999999999</v>
      </c>
      <c r="DR8">
        <v>21.45438</v>
      </c>
      <c r="DS8">
        <v>13.377969999999999</v>
      </c>
      <c r="DT8">
        <v>11.05077</v>
      </c>
      <c r="DU8">
        <v>25.467400000000001</v>
      </c>
      <c r="DV8">
        <v>25.78312</v>
      </c>
      <c r="DW8">
        <v>20.582350000000002</v>
      </c>
      <c r="DX8">
        <v>18.997170000000001</v>
      </c>
      <c r="DY8">
        <v>27.534179999999999</v>
      </c>
      <c r="DZ8">
        <v>31.92774</v>
      </c>
      <c r="EA8">
        <v>36.538179999999997</v>
      </c>
      <c r="EB8">
        <v>34.313560000000003</v>
      </c>
      <c r="EC8">
        <v>27.864319999999999</v>
      </c>
      <c r="ED8">
        <v>26.418040000000001</v>
      </c>
      <c r="EE8">
        <v>23.098459999999999</v>
      </c>
      <c r="EF8">
        <v>32.825099999999999</v>
      </c>
      <c r="EG8">
        <v>59.531880000000001</v>
      </c>
      <c r="EH8">
        <v>59.651049999999998</v>
      </c>
      <c r="EI8">
        <v>54.930030000000002</v>
      </c>
      <c r="EJ8">
        <v>61.213079999999998</v>
      </c>
      <c r="EK8">
        <v>60.019629999999999</v>
      </c>
      <c r="EL8">
        <v>60.999360000000003</v>
      </c>
      <c r="EM8">
        <v>61.945599999999999</v>
      </c>
      <c r="EN8">
        <v>58.177509999999998</v>
      </c>
      <c r="EO8">
        <v>40.625320000000002</v>
      </c>
      <c r="EP8">
        <v>27.486920000000001</v>
      </c>
      <c r="EQ8">
        <v>19.212980000000002</v>
      </c>
      <c r="ER8">
        <v>15.863329999999999</v>
      </c>
      <c r="ES8">
        <v>66.694490000000002</v>
      </c>
      <c r="ET8">
        <v>65.512339999999995</v>
      </c>
      <c r="EU8">
        <v>64.484870000000001</v>
      </c>
      <c r="EV8">
        <v>63.689619999999998</v>
      </c>
      <c r="EW8">
        <v>62.900739999999999</v>
      </c>
      <c r="EX8">
        <v>62.587679999999999</v>
      </c>
      <c r="EY8">
        <v>61.198399999999999</v>
      </c>
      <c r="EZ8">
        <v>63.481949999999998</v>
      </c>
      <c r="FA8">
        <v>69.411199999999994</v>
      </c>
      <c r="FB8">
        <v>75.347639999999998</v>
      </c>
      <c r="FC8">
        <v>80.75121</v>
      </c>
      <c r="FD8">
        <v>84.653440000000003</v>
      </c>
      <c r="FE8">
        <v>86.711340000000007</v>
      </c>
      <c r="FF8">
        <v>87.682329999999993</v>
      </c>
      <c r="FG8">
        <v>87.778630000000007</v>
      </c>
      <c r="FH8">
        <v>87.393730000000005</v>
      </c>
      <c r="FI8">
        <v>86.773030000000006</v>
      </c>
      <c r="FJ8">
        <v>85.213520000000003</v>
      </c>
      <c r="FK8">
        <v>81.47475</v>
      </c>
      <c r="FL8">
        <v>77.403409999999994</v>
      </c>
      <c r="FM8">
        <v>74.917199999999994</v>
      </c>
      <c r="FN8">
        <v>73.253380000000007</v>
      </c>
      <c r="FO8">
        <v>71.589500000000001</v>
      </c>
      <c r="FP8">
        <v>69.780779999999993</v>
      </c>
      <c r="FQ8">
        <v>1</v>
      </c>
    </row>
    <row r="9" spans="1:173" x14ac:dyDescent="0.2">
      <c r="A9" t="s">
        <v>1</v>
      </c>
      <c r="B9" s="66" t="s">
        <v>2</v>
      </c>
      <c r="C9">
        <v>519.71429999999998</v>
      </c>
      <c r="D9">
        <v>943.57140000000004</v>
      </c>
      <c r="E9">
        <v>641.35659999999996</v>
      </c>
      <c r="F9">
        <v>638.93259999999998</v>
      </c>
      <c r="G9">
        <v>632.36289999999997</v>
      </c>
      <c r="H9">
        <v>629.96349999999995</v>
      </c>
      <c r="I9">
        <v>649.54830000000004</v>
      </c>
      <c r="J9">
        <v>690.6377</v>
      </c>
      <c r="K9">
        <v>748.33749999999998</v>
      </c>
      <c r="L9">
        <v>781.13139999999999</v>
      </c>
      <c r="M9">
        <v>808.17100000000005</v>
      </c>
      <c r="N9">
        <v>830.07050000000004</v>
      </c>
      <c r="O9">
        <v>836.55259999999998</v>
      </c>
      <c r="P9">
        <v>846.7672</v>
      </c>
      <c r="Q9">
        <v>841.48800000000006</v>
      </c>
      <c r="R9">
        <v>846.28779999999995</v>
      </c>
      <c r="S9">
        <v>841.51639999999998</v>
      </c>
      <c r="T9">
        <v>832.09659999999997</v>
      </c>
      <c r="U9">
        <v>820.25789999999995</v>
      </c>
      <c r="V9">
        <v>802.68330000000003</v>
      </c>
      <c r="W9">
        <v>770.08450000000005</v>
      </c>
      <c r="X9">
        <v>754.22799999999995</v>
      </c>
      <c r="Y9">
        <v>748.1001</v>
      </c>
      <c r="Z9">
        <v>733.14369999999997</v>
      </c>
      <c r="AA9">
        <v>707.74260000000004</v>
      </c>
      <c r="AB9">
        <v>675.9502</v>
      </c>
      <c r="AC9">
        <v>17.932839999999999</v>
      </c>
      <c r="AD9">
        <v>17.638629999999999</v>
      </c>
      <c r="AE9">
        <v>12.41278</v>
      </c>
      <c r="AF9">
        <v>-10.50929</v>
      </c>
      <c r="AG9">
        <v>-16.675339999999998</v>
      </c>
      <c r="AH9">
        <v>-14.23926</v>
      </c>
      <c r="AI9">
        <v>-7.7407260000000004</v>
      </c>
      <c r="AJ9">
        <v>6.4137639999999996</v>
      </c>
      <c r="AK9">
        <v>6.058808</v>
      </c>
      <c r="AL9">
        <v>6.8189169999999999</v>
      </c>
      <c r="AM9">
        <v>12.69694</v>
      </c>
      <c r="AN9">
        <v>55.125549999999997</v>
      </c>
      <c r="AO9">
        <v>99.350830000000002</v>
      </c>
      <c r="AP9">
        <v>103.8702</v>
      </c>
      <c r="AQ9">
        <v>97.218249999999998</v>
      </c>
      <c r="AR9">
        <v>101.4487</v>
      </c>
      <c r="AS9">
        <v>105.0008</v>
      </c>
      <c r="AT9">
        <v>102.6452</v>
      </c>
      <c r="AU9">
        <v>95.858630000000005</v>
      </c>
      <c r="AV9">
        <v>84.237560000000002</v>
      </c>
      <c r="AW9">
        <v>44.520580000000002</v>
      </c>
      <c r="AX9">
        <v>23.15579</v>
      </c>
      <c r="AY9">
        <v>16.084060000000001</v>
      </c>
      <c r="AZ9">
        <v>4.3063760000000002</v>
      </c>
      <c r="BA9">
        <v>21.540700000000001</v>
      </c>
      <c r="BB9">
        <v>21.096969999999999</v>
      </c>
      <c r="BC9">
        <v>14.993589999999999</v>
      </c>
      <c r="BD9">
        <v>-7.2058359999999997</v>
      </c>
      <c r="BE9">
        <v>-13.65357</v>
      </c>
      <c r="BF9">
        <v>-11.73427</v>
      </c>
      <c r="BG9">
        <v>-4.1222279999999998</v>
      </c>
      <c r="BH9">
        <v>9.9949080000000006</v>
      </c>
      <c r="BI9">
        <v>9.6134170000000001</v>
      </c>
      <c r="BJ9">
        <v>11.60697</v>
      </c>
      <c r="BK9">
        <v>17.334420000000001</v>
      </c>
      <c r="BL9">
        <v>59.86786</v>
      </c>
      <c r="BM9">
        <v>104.1108</v>
      </c>
      <c r="BN9">
        <v>108.4378</v>
      </c>
      <c r="BO9">
        <v>101.7304</v>
      </c>
      <c r="BP9">
        <v>106.196</v>
      </c>
      <c r="BQ9">
        <v>109.2337</v>
      </c>
      <c r="BR9">
        <v>107.164</v>
      </c>
      <c r="BS9">
        <v>101.0322</v>
      </c>
      <c r="BT9">
        <v>89.559439999999995</v>
      </c>
      <c r="BU9">
        <v>49.941879999999998</v>
      </c>
      <c r="BV9">
        <v>28.773959999999999</v>
      </c>
      <c r="BW9">
        <v>21.859590000000001</v>
      </c>
      <c r="BX9">
        <v>8.9833809999999996</v>
      </c>
      <c r="BY9">
        <v>24.0395</v>
      </c>
      <c r="BZ9">
        <v>23.49221</v>
      </c>
      <c r="CA9">
        <v>16.78105</v>
      </c>
      <c r="CB9">
        <v>-4.9178759999999997</v>
      </c>
      <c r="CC9">
        <v>-11.560700000000001</v>
      </c>
      <c r="CD9">
        <v>-9.9993130000000008</v>
      </c>
      <c r="CE9">
        <v>-1.6160680000000001</v>
      </c>
      <c r="CF9">
        <v>12.475199999999999</v>
      </c>
      <c r="CG9">
        <v>12.075329999999999</v>
      </c>
      <c r="CH9">
        <v>14.923170000000001</v>
      </c>
      <c r="CI9">
        <v>20.546330000000001</v>
      </c>
      <c r="CJ9">
        <v>63.152369999999998</v>
      </c>
      <c r="CK9">
        <v>107.4076</v>
      </c>
      <c r="CL9">
        <v>111.60129999999999</v>
      </c>
      <c r="CM9">
        <v>104.85550000000001</v>
      </c>
      <c r="CN9">
        <v>109.48399999999999</v>
      </c>
      <c r="CO9">
        <v>112.16540000000001</v>
      </c>
      <c r="CP9">
        <v>110.2937</v>
      </c>
      <c r="CQ9">
        <v>104.61539999999999</v>
      </c>
      <c r="CR9">
        <v>93.245350000000002</v>
      </c>
      <c r="CS9">
        <v>53.696660000000001</v>
      </c>
      <c r="CT9">
        <v>32.665080000000003</v>
      </c>
      <c r="CU9">
        <v>25.8597</v>
      </c>
      <c r="CV9">
        <v>12.222659999999999</v>
      </c>
      <c r="CW9">
        <v>26.5383</v>
      </c>
      <c r="CX9">
        <v>25.887450000000001</v>
      </c>
      <c r="CY9">
        <v>18.568519999999999</v>
      </c>
      <c r="CZ9">
        <v>-2.6299160000000001</v>
      </c>
      <c r="DA9">
        <v>-9.4678360000000001</v>
      </c>
      <c r="DB9">
        <v>-8.2643609999999992</v>
      </c>
      <c r="DC9">
        <v>0.89009309999999997</v>
      </c>
      <c r="DD9">
        <v>14.955489999999999</v>
      </c>
      <c r="DE9">
        <v>14.537240000000001</v>
      </c>
      <c r="DF9">
        <v>18.239360000000001</v>
      </c>
      <c r="DG9">
        <v>23.758230000000001</v>
      </c>
      <c r="DH9">
        <v>66.436869999999999</v>
      </c>
      <c r="DI9">
        <v>110.7043</v>
      </c>
      <c r="DJ9">
        <v>114.7649</v>
      </c>
      <c r="DK9">
        <v>107.98050000000001</v>
      </c>
      <c r="DL9">
        <v>112.7719</v>
      </c>
      <c r="DM9">
        <v>115.0971</v>
      </c>
      <c r="DN9">
        <v>113.4234</v>
      </c>
      <c r="DO9">
        <v>108.1986</v>
      </c>
      <c r="DP9">
        <v>96.931269999999998</v>
      </c>
      <c r="DQ9">
        <v>57.451439999999998</v>
      </c>
      <c r="DR9">
        <v>36.55621</v>
      </c>
      <c r="DS9">
        <v>29.85981</v>
      </c>
      <c r="DT9">
        <v>15.46194</v>
      </c>
      <c r="DU9">
        <v>30.146159999999998</v>
      </c>
      <c r="DV9">
        <v>29.345800000000001</v>
      </c>
      <c r="DW9">
        <v>21.149329999999999</v>
      </c>
      <c r="DX9">
        <v>0.67353549999999995</v>
      </c>
      <c r="DY9">
        <v>-6.4460670000000002</v>
      </c>
      <c r="DZ9">
        <v>-5.7593670000000001</v>
      </c>
      <c r="EA9">
        <v>4.508591</v>
      </c>
      <c r="EB9">
        <v>18.536629999999999</v>
      </c>
      <c r="EC9">
        <v>18.091850000000001</v>
      </c>
      <c r="ED9">
        <v>23.027419999999999</v>
      </c>
      <c r="EE9">
        <v>28.395710000000001</v>
      </c>
      <c r="EF9">
        <v>71.179180000000002</v>
      </c>
      <c r="EG9">
        <v>115.46429999999999</v>
      </c>
      <c r="EH9">
        <v>119.3325</v>
      </c>
      <c r="EI9">
        <v>112.4927</v>
      </c>
      <c r="EJ9">
        <v>117.5192</v>
      </c>
      <c r="EK9">
        <v>119.3301</v>
      </c>
      <c r="EL9">
        <v>117.9422</v>
      </c>
      <c r="EM9">
        <v>113.37220000000001</v>
      </c>
      <c r="EN9">
        <v>102.2531</v>
      </c>
      <c r="EO9">
        <v>62.872729999999997</v>
      </c>
      <c r="EP9">
        <v>42.174379999999999</v>
      </c>
      <c r="EQ9">
        <v>35.635330000000003</v>
      </c>
      <c r="ER9">
        <v>20.138940000000002</v>
      </c>
      <c r="ES9">
        <v>71.995750000000001</v>
      </c>
      <c r="ET9">
        <v>71.060379999999995</v>
      </c>
      <c r="EU9">
        <v>70.279020000000003</v>
      </c>
      <c r="EV9">
        <v>69.823869999999999</v>
      </c>
      <c r="EW9">
        <v>69.37679</v>
      </c>
      <c r="EX9">
        <v>69.061970000000002</v>
      </c>
      <c r="EY9">
        <v>70.11224</v>
      </c>
      <c r="EZ9">
        <v>72.964410000000001</v>
      </c>
      <c r="FA9">
        <v>76.721500000000006</v>
      </c>
      <c r="FB9">
        <v>80.054879999999997</v>
      </c>
      <c r="FC9">
        <v>82.99194</v>
      </c>
      <c r="FD9">
        <v>85.339550000000003</v>
      </c>
      <c r="FE9">
        <v>87.060580000000002</v>
      </c>
      <c r="FF9">
        <v>87.996510000000001</v>
      </c>
      <c r="FG9">
        <v>88.591589999999997</v>
      </c>
      <c r="FH9">
        <v>88.343119999999999</v>
      </c>
      <c r="FI9">
        <v>87.001750000000001</v>
      </c>
      <c r="FJ9">
        <v>84.585909999999998</v>
      </c>
      <c r="FK9">
        <v>81.364050000000006</v>
      </c>
      <c r="FL9">
        <v>78.869309999999999</v>
      </c>
      <c r="FM9">
        <v>77.013720000000006</v>
      </c>
      <c r="FN9">
        <v>75.627430000000004</v>
      </c>
      <c r="FO9">
        <v>74.284049999999993</v>
      </c>
      <c r="FP9">
        <v>73.063059999999993</v>
      </c>
      <c r="FQ9">
        <v>1</v>
      </c>
    </row>
    <row r="10" spans="1:173" x14ac:dyDescent="0.2">
      <c r="A10" t="s">
        <v>234</v>
      </c>
      <c r="B10" s="66">
        <v>41834</v>
      </c>
      <c r="C10">
        <v>371</v>
      </c>
      <c r="D10">
        <v>919</v>
      </c>
      <c r="E10">
        <v>391.5763</v>
      </c>
      <c r="F10">
        <v>392.07240000000002</v>
      </c>
      <c r="G10">
        <v>390.48180000000002</v>
      </c>
      <c r="H10">
        <v>394.3227</v>
      </c>
      <c r="I10">
        <v>416.99779999999998</v>
      </c>
      <c r="J10">
        <v>457.81740000000002</v>
      </c>
      <c r="K10">
        <v>516.55169999999998</v>
      </c>
      <c r="L10">
        <v>551.46349999999995</v>
      </c>
      <c r="M10">
        <v>573.07000000000005</v>
      </c>
      <c r="N10">
        <v>585.71209999999996</v>
      </c>
      <c r="O10">
        <v>584.87120000000004</v>
      </c>
      <c r="P10">
        <v>597.76289999999995</v>
      </c>
      <c r="Q10">
        <v>587.2672</v>
      </c>
      <c r="R10">
        <v>597.41060000000004</v>
      </c>
      <c r="S10">
        <v>594.96420000000001</v>
      </c>
      <c r="T10">
        <v>598.81560000000002</v>
      </c>
      <c r="U10">
        <v>594.18209999999999</v>
      </c>
      <c r="V10">
        <v>580.05899999999997</v>
      </c>
      <c r="W10">
        <v>542.88810000000001</v>
      </c>
      <c r="X10">
        <v>522.5376</v>
      </c>
      <c r="Y10">
        <v>521.84860000000003</v>
      </c>
      <c r="Z10">
        <v>514.17219999999998</v>
      </c>
      <c r="AA10">
        <v>490.38819999999998</v>
      </c>
      <c r="AB10">
        <v>461.06470000000002</v>
      </c>
      <c r="AC10">
        <v>1.576619</v>
      </c>
      <c r="AD10">
        <v>1.8403039999999999</v>
      </c>
      <c r="AE10">
        <v>2.4347989999999999</v>
      </c>
      <c r="AF10">
        <v>-2.4197470000000001</v>
      </c>
      <c r="AG10">
        <v>-2.109944</v>
      </c>
      <c r="AH10">
        <v>4.8715000000000002</v>
      </c>
      <c r="AI10">
        <v>-28.207429999999999</v>
      </c>
      <c r="AJ10">
        <v>-1.170814</v>
      </c>
      <c r="AK10">
        <v>-7.2691999999999997</v>
      </c>
      <c r="AL10">
        <v>-3.3425560000000001</v>
      </c>
      <c r="AM10">
        <v>-15.46124</v>
      </c>
      <c r="AN10">
        <v>47.942979999999999</v>
      </c>
      <c r="AO10">
        <v>97.159130000000005</v>
      </c>
      <c r="AP10">
        <v>105.8663</v>
      </c>
      <c r="AQ10">
        <v>103.8882</v>
      </c>
      <c r="AR10">
        <v>105.655</v>
      </c>
      <c r="AS10">
        <v>104.682</v>
      </c>
      <c r="AT10">
        <v>106.98350000000001</v>
      </c>
      <c r="AU10">
        <v>101.55889999999999</v>
      </c>
      <c r="AV10">
        <v>94.868189999999998</v>
      </c>
      <c r="AW10">
        <v>40.98554</v>
      </c>
      <c r="AX10">
        <v>26.791740000000001</v>
      </c>
      <c r="AY10">
        <v>11.135820000000001</v>
      </c>
      <c r="AZ10">
        <v>24.275960000000001</v>
      </c>
      <c r="BA10">
        <v>3.507924</v>
      </c>
      <c r="BB10">
        <v>3.841269</v>
      </c>
      <c r="BC10">
        <v>4.1238929999999998</v>
      </c>
      <c r="BD10">
        <v>-0.4188714</v>
      </c>
      <c r="BE10">
        <v>-0.29251100000000002</v>
      </c>
      <c r="BF10">
        <v>6.4393989999999999</v>
      </c>
      <c r="BG10">
        <v>-25.020779999999998</v>
      </c>
      <c r="BH10">
        <v>1.564405</v>
      </c>
      <c r="BI10">
        <v>-4.062195</v>
      </c>
      <c r="BJ10">
        <v>1.2801800000000001</v>
      </c>
      <c r="BK10">
        <v>-10.90621</v>
      </c>
      <c r="BL10">
        <v>52.35192</v>
      </c>
      <c r="BM10">
        <v>101.5414</v>
      </c>
      <c r="BN10">
        <v>109.49379999999999</v>
      </c>
      <c r="BO10">
        <v>107.0194</v>
      </c>
      <c r="BP10">
        <v>108.7724</v>
      </c>
      <c r="BQ10">
        <v>107.08880000000001</v>
      </c>
      <c r="BR10">
        <v>109.4795</v>
      </c>
      <c r="BS10">
        <v>105.6097</v>
      </c>
      <c r="BT10">
        <v>99.070530000000005</v>
      </c>
      <c r="BU10">
        <v>44.341569999999997</v>
      </c>
      <c r="BV10">
        <v>30.12228</v>
      </c>
      <c r="BW10">
        <v>15.45274</v>
      </c>
      <c r="BX10">
        <v>27.93693</v>
      </c>
      <c r="BY10">
        <v>4.8455399999999997</v>
      </c>
      <c r="BZ10">
        <v>5.227131</v>
      </c>
      <c r="CA10">
        <v>5.2937539999999998</v>
      </c>
      <c r="CB10">
        <v>0.96692869999999997</v>
      </c>
      <c r="CC10">
        <v>0.96623740000000002</v>
      </c>
      <c r="CD10">
        <v>7.5253199999999998</v>
      </c>
      <c r="CE10">
        <v>-22.81371</v>
      </c>
      <c r="CF10">
        <v>3.4588079999999999</v>
      </c>
      <c r="CG10">
        <v>-1.8410329999999999</v>
      </c>
      <c r="CH10">
        <v>4.4818720000000001</v>
      </c>
      <c r="CI10">
        <v>-7.7514089999999998</v>
      </c>
      <c r="CJ10">
        <v>55.405540000000002</v>
      </c>
      <c r="CK10">
        <v>104.5766</v>
      </c>
      <c r="CL10">
        <v>112.00620000000001</v>
      </c>
      <c r="CM10">
        <v>109.188</v>
      </c>
      <c r="CN10">
        <v>110.9314</v>
      </c>
      <c r="CO10">
        <v>108.7557</v>
      </c>
      <c r="CP10">
        <v>111.20820000000001</v>
      </c>
      <c r="CQ10">
        <v>108.4152</v>
      </c>
      <c r="CR10">
        <v>101.9811</v>
      </c>
      <c r="CS10">
        <v>46.665950000000002</v>
      </c>
      <c r="CT10">
        <v>32.429000000000002</v>
      </c>
      <c r="CU10">
        <v>18.442620000000002</v>
      </c>
      <c r="CV10">
        <v>30.4725</v>
      </c>
      <c r="CW10">
        <v>6.1831560000000003</v>
      </c>
      <c r="CX10">
        <v>6.6129930000000003</v>
      </c>
      <c r="CY10">
        <v>6.4636149999999999</v>
      </c>
      <c r="CZ10">
        <v>2.3527290000000001</v>
      </c>
      <c r="DA10">
        <v>2.2249859999999999</v>
      </c>
      <c r="DB10">
        <v>8.6112409999999997</v>
      </c>
      <c r="DC10">
        <v>-20.606649999999998</v>
      </c>
      <c r="DD10">
        <v>5.3532120000000001</v>
      </c>
      <c r="DE10">
        <v>0.38012970000000001</v>
      </c>
      <c r="DF10">
        <v>7.6835649999999998</v>
      </c>
      <c r="DG10">
        <v>-4.5966089999999999</v>
      </c>
      <c r="DH10">
        <v>58.459159999999997</v>
      </c>
      <c r="DI10">
        <v>107.6117</v>
      </c>
      <c r="DJ10">
        <v>114.5187</v>
      </c>
      <c r="DK10">
        <v>111.3567</v>
      </c>
      <c r="DL10">
        <v>113.09050000000001</v>
      </c>
      <c r="DM10">
        <v>110.4226</v>
      </c>
      <c r="DN10">
        <v>112.93689999999999</v>
      </c>
      <c r="DO10">
        <v>111.22069999999999</v>
      </c>
      <c r="DP10">
        <v>104.8916</v>
      </c>
      <c r="DQ10">
        <v>48.99033</v>
      </c>
      <c r="DR10">
        <v>34.735729999999997</v>
      </c>
      <c r="DS10">
        <v>21.432510000000001</v>
      </c>
      <c r="DT10">
        <v>33.00808</v>
      </c>
      <c r="DU10">
        <v>8.1144599999999993</v>
      </c>
      <c r="DV10">
        <v>8.6139569999999992</v>
      </c>
      <c r="DW10">
        <v>8.1527089999999998</v>
      </c>
      <c r="DX10">
        <v>4.3536039999999998</v>
      </c>
      <c r="DY10">
        <v>4.0424179999999996</v>
      </c>
      <c r="DZ10">
        <v>10.17914</v>
      </c>
      <c r="EA10">
        <v>-17.420000000000002</v>
      </c>
      <c r="EB10">
        <v>8.0884300000000007</v>
      </c>
      <c r="EC10">
        <v>3.587135</v>
      </c>
      <c r="ED10">
        <v>12.3063</v>
      </c>
      <c r="EE10">
        <v>-4.15786E-2</v>
      </c>
      <c r="EF10">
        <v>62.868110000000001</v>
      </c>
      <c r="EG10">
        <v>111.994</v>
      </c>
      <c r="EH10">
        <v>118.14619999999999</v>
      </c>
      <c r="EI10">
        <v>114.48779999999999</v>
      </c>
      <c r="EJ10">
        <v>116.20780000000001</v>
      </c>
      <c r="EK10">
        <v>112.8293</v>
      </c>
      <c r="EL10">
        <v>115.4328</v>
      </c>
      <c r="EM10">
        <v>115.2715</v>
      </c>
      <c r="EN10">
        <v>109.0939</v>
      </c>
      <c r="EO10">
        <v>52.346359999999997</v>
      </c>
      <c r="EP10">
        <v>38.066270000000003</v>
      </c>
      <c r="EQ10">
        <v>25.74943</v>
      </c>
      <c r="ER10">
        <v>36.669049999999999</v>
      </c>
      <c r="ES10">
        <v>68.280259999999998</v>
      </c>
      <c r="ET10">
        <v>68.237030000000004</v>
      </c>
      <c r="EU10">
        <v>67.957049999999995</v>
      </c>
      <c r="EV10">
        <v>67.520150000000001</v>
      </c>
      <c r="EW10">
        <v>67.557680000000005</v>
      </c>
      <c r="EX10">
        <v>67.980350000000001</v>
      </c>
      <c r="EY10">
        <v>69.150139999999993</v>
      </c>
      <c r="EZ10">
        <v>70.741259999999997</v>
      </c>
      <c r="FA10">
        <v>71.816119999999998</v>
      </c>
      <c r="FB10">
        <v>72.193150000000003</v>
      </c>
      <c r="FC10">
        <v>72.549949999999995</v>
      </c>
      <c r="FD10">
        <v>73.804010000000005</v>
      </c>
      <c r="FE10">
        <v>75.411810000000003</v>
      </c>
      <c r="FF10">
        <v>76.802350000000004</v>
      </c>
      <c r="FG10">
        <v>79.369680000000002</v>
      </c>
      <c r="FH10">
        <v>80.155860000000004</v>
      </c>
      <c r="FI10">
        <v>76.96387</v>
      </c>
      <c r="FJ10">
        <v>73.362669999999994</v>
      </c>
      <c r="FK10">
        <v>70.689480000000003</v>
      </c>
      <c r="FL10">
        <v>69.317459999999997</v>
      </c>
      <c r="FM10">
        <v>69.409390000000002</v>
      </c>
      <c r="FN10">
        <v>69.721729999999994</v>
      </c>
      <c r="FO10">
        <v>69.442509999999999</v>
      </c>
      <c r="FP10">
        <v>68.593410000000006</v>
      </c>
      <c r="FQ10">
        <v>1</v>
      </c>
    </row>
    <row r="11" spans="1:173" x14ac:dyDescent="0.2">
      <c r="A11" t="s">
        <v>234</v>
      </c>
      <c r="B11" s="66">
        <v>41890</v>
      </c>
      <c r="C11">
        <v>393</v>
      </c>
      <c r="D11">
        <v>723</v>
      </c>
      <c r="E11">
        <v>368.24400000000003</v>
      </c>
      <c r="F11">
        <v>367.60579999999999</v>
      </c>
      <c r="G11">
        <v>362.96530000000001</v>
      </c>
      <c r="H11">
        <v>363.68819999999999</v>
      </c>
      <c r="I11">
        <v>382.65309999999999</v>
      </c>
      <c r="J11">
        <v>421.50420000000003</v>
      </c>
      <c r="K11">
        <v>478.459</v>
      </c>
      <c r="L11">
        <v>510.52179999999998</v>
      </c>
      <c r="M11">
        <v>531.82560000000001</v>
      </c>
      <c r="N11">
        <v>548.52930000000003</v>
      </c>
      <c r="O11">
        <v>538.78009999999995</v>
      </c>
      <c r="P11">
        <v>550.91240000000005</v>
      </c>
      <c r="Q11">
        <v>536.54690000000005</v>
      </c>
      <c r="R11">
        <v>544.98379999999997</v>
      </c>
      <c r="S11">
        <v>532.94150000000002</v>
      </c>
      <c r="T11">
        <v>527.65170000000001</v>
      </c>
      <c r="U11">
        <v>523.45259999999996</v>
      </c>
      <c r="V11">
        <v>511.32900000000001</v>
      </c>
      <c r="W11">
        <v>480.50420000000003</v>
      </c>
      <c r="X11">
        <v>470.07819999999998</v>
      </c>
      <c r="Y11">
        <v>458.02530000000002</v>
      </c>
      <c r="Z11">
        <v>446.51990000000001</v>
      </c>
      <c r="AA11">
        <v>425.77850000000001</v>
      </c>
      <c r="AB11">
        <v>393.52719999999999</v>
      </c>
      <c r="AC11">
        <v>38.138489999999997</v>
      </c>
      <c r="AD11">
        <v>38.104410000000001</v>
      </c>
      <c r="AE11">
        <v>26.798089999999998</v>
      </c>
      <c r="AF11">
        <v>-21.380659999999999</v>
      </c>
      <c r="AG11">
        <v>-25.497299999999999</v>
      </c>
      <c r="AH11">
        <v>-16.96322</v>
      </c>
      <c r="AI11">
        <v>-3.2171919999999998</v>
      </c>
      <c r="AJ11">
        <v>10.31255</v>
      </c>
      <c r="AK11">
        <v>9.4679059999999993</v>
      </c>
      <c r="AL11">
        <v>16.340610000000002</v>
      </c>
      <c r="AM11">
        <v>34.820309999999999</v>
      </c>
      <c r="AN11">
        <v>50.102580000000003</v>
      </c>
      <c r="AO11">
        <v>75.633690000000001</v>
      </c>
      <c r="AP11">
        <v>85.101519999999994</v>
      </c>
      <c r="AQ11">
        <v>72.325810000000004</v>
      </c>
      <c r="AR11">
        <v>78.107429999999994</v>
      </c>
      <c r="AS11">
        <v>89.155869999999993</v>
      </c>
      <c r="AT11">
        <v>93.719300000000004</v>
      </c>
      <c r="AU11">
        <v>88.026970000000006</v>
      </c>
      <c r="AV11">
        <v>82.365539999999996</v>
      </c>
      <c r="AW11">
        <v>28.423169999999999</v>
      </c>
      <c r="AX11">
        <v>11.201180000000001</v>
      </c>
      <c r="AY11">
        <v>7.2200040000000003</v>
      </c>
      <c r="AZ11">
        <v>-16.75553</v>
      </c>
      <c r="BA11">
        <v>41.977930000000001</v>
      </c>
      <c r="BB11">
        <v>41.799169999999997</v>
      </c>
      <c r="BC11">
        <v>29.44387</v>
      </c>
      <c r="BD11">
        <v>-18.289079999999998</v>
      </c>
      <c r="BE11">
        <v>-22.621300000000002</v>
      </c>
      <c r="BF11">
        <v>-14.473100000000001</v>
      </c>
      <c r="BG11">
        <v>0.63198739999999998</v>
      </c>
      <c r="BH11">
        <v>13.6166</v>
      </c>
      <c r="BI11">
        <v>13.720079999999999</v>
      </c>
      <c r="BJ11">
        <v>23.352029999999999</v>
      </c>
      <c r="BK11">
        <v>40.834820000000001</v>
      </c>
      <c r="BL11">
        <v>55.804169999999999</v>
      </c>
      <c r="BM11">
        <v>81.401269999999997</v>
      </c>
      <c r="BN11">
        <v>90.032749999999993</v>
      </c>
      <c r="BO11">
        <v>76.692499999999995</v>
      </c>
      <c r="BP11">
        <v>82.427359999999993</v>
      </c>
      <c r="BQ11">
        <v>92.772729999999996</v>
      </c>
      <c r="BR11">
        <v>97.468670000000003</v>
      </c>
      <c r="BS11">
        <v>92.587720000000004</v>
      </c>
      <c r="BT11">
        <v>87.2119</v>
      </c>
      <c r="BU11">
        <v>34.219760000000001</v>
      </c>
      <c r="BV11">
        <v>17.466390000000001</v>
      </c>
      <c r="BW11">
        <v>13.77009</v>
      </c>
      <c r="BX11">
        <v>-11.105600000000001</v>
      </c>
      <c r="BY11">
        <v>44.63711</v>
      </c>
      <c r="BZ11">
        <v>44.358150000000002</v>
      </c>
      <c r="CA11">
        <v>31.276319999999998</v>
      </c>
      <c r="CB11">
        <v>-16.147849999999998</v>
      </c>
      <c r="CC11">
        <v>-20.629390000000001</v>
      </c>
      <c r="CD11">
        <v>-12.74846</v>
      </c>
      <c r="CE11">
        <v>3.2979180000000001</v>
      </c>
      <c r="CF11">
        <v>15.90498</v>
      </c>
      <c r="CG11">
        <v>16.665120000000002</v>
      </c>
      <c r="CH11">
        <v>28.208120000000001</v>
      </c>
      <c r="CI11">
        <v>45.000439999999998</v>
      </c>
      <c r="CJ11">
        <v>59.753079999999997</v>
      </c>
      <c r="CK11">
        <v>85.395880000000005</v>
      </c>
      <c r="CL11">
        <v>93.44811</v>
      </c>
      <c r="CM11">
        <v>79.716859999999997</v>
      </c>
      <c r="CN11">
        <v>85.419330000000002</v>
      </c>
      <c r="CO11">
        <v>95.277760000000001</v>
      </c>
      <c r="CP11">
        <v>100.0655</v>
      </c>
      <c r="CQ11">
        <v>95.746480000000005</v>
      </c>
      <c r="CR11">
        <v>90.568470000000005</v>
      </c>
      <c r="CS11">
        <v>38.234459999999999</v>
      </c>
      <c r="CT11">
        <v>21.80566</v>
      </c>
      <c r="CU11">
        <v>18.30667</v>
      </c>
      <c r="CV11">
        <v>-7.1924739999999998</v>
      </c>
      <c r="CW11">
        <v>47.296289999999999</v>
      </c>
      <c r="CX11">
        <v>46.91713</v>
      </c>
      <c r="CY11">
        <v>33.108780000000003</v>
      </c>
      <c r="CZ11">
        <v>-14.006629999999999</v>
      </c>
      <c r="DA11">
        <v>-18.63748</v>
      </c>
      <c r="DB11">
        <v>-11.023809999999999</v>
      </c>
      <c r="DC11">
        <v>5.9638479999999996</v>
      </c>
      <c r="DD11">
        <v>18.193359999999998</v>
      </c>
      <c r="DE11">
        <v>19.61016</v>
      </c>
      <c r="DF11">
        <v>33.064219999999999</v>
      </c>
      <c r="DG11">
        <v>49.166069999999998</v>
      </c>
      <c r="DH11">
        <v>63.701979999999999</v>
      </c>
      <c r="DI11">
        <v>89.390500000000003</v>
      </c>
      <c r="DJ11">
        <v>96.863470000000007</v>
      </c>
      <c r="DK11">
        <v>82.741219999999998</v>
      </c>
      <c r="DL11">
        <v>88.411289999999994</v>
      </c>
      <c r="DM11">
        <v>97.782780000000002</v>
      </c>
      <c r="DN11">
        <v>102.6623</v>
      </c>
      <c r="DO11">
        <v>98.905240000000006</v>
      </c>
      <c r="DP11">
        <v>93.925049999999999</v>
      </c>
      <c r="DQ11">
        <v>42.249160000000003</v>
      </c>
      <c r="DR11">
        <v>26.144929999999999</v>
      </c>
      <c r="DS11">
        <v>22.843240000000002</v>
      </c>
      <c r="DT11">
        <v>-3.2793510000000001</v>
      </c>
      <c r="DU11">
        <v>51.135730000000002</v>
      </c>
      <c r="DV11">
        <v>50.611890000000002</v>
      </c>
      <c r="DW11">
        <v>35.754550000000002</v>
      </c>
      <c r="DX11">
        <v>-10.915039999999999</v>
      </c>
      <c r="DY11">
        <v>-15.761480000000001</v>
      </c>
      <c r="DZ11">
        <v>-8.5336920000000003</v>
      </c>
      <c r="EA11">
        <v>9.8130269999999999</v>
      </c>
      <c r="EB11">
        <v>21.497420000000002</v>
      </c>
      <c r="EC11">
        <v>23.86232</v>
      </c>
      <c r="ED11">
        <v>40.07564</v>
      </c>
      <c r="EE11">
        <v>55.180579999999999</v>
      </c>
      <c r="EF11">
        <v>69.403580000000005</v>
      </c>
      <c r="EG11">
        <v>95.158069999999995</v>
      </c>
      <c r="EH11">
        <v>101.79470000000001</v>
      </c>
      <c r="EI11">
        <v>87.107910000000004</v>
      </c>
      <c r="EJ11">
        <v>92.731219999999993</v>
      </c>
      <c r="EK11">
        <v>101.39960000000001</v>
      </c>
      <c r="EL11">
        <v>106.4117</v>
      </c>
      <c r="EM11">
        <v>103.46599999999999</v>
      </c>
      <c r="EN11">
        <v>98.771410000000003</v>
      </c>
      <c r="EO11">
        <v>48.045760000000001</v>
      </c>
      <c r="EP11">
        <v>32.410139999999998</v>
      </c>
      <c r="EQ11">
        <v>29.393329999999999</v>
      </c>
      <c r="ER11">
        <v>2.3705780000000001</v>
      </c>
      <c r="ES11">
        <v>73.935400000000001</v>
      </c>
      <c r="ET11">
        <v>73.806910000000002</v>
      </c>
      <c r="EU11">
        <v>73.149159999999995</v>
      </c>
      <c r="EV11">
        <v>72.927090000000007</v>
      </c>
      <c r="EW11">
        <v>72.801829999999995</v>
      </c>
      <c r="EX11">
        <v>72.678259999999995</v>
      </c>
      <c r="EY11">
        <v>73.254069999999999</v>
      </c>
      <c r="EZ11">
        <v>74.660640000000001</v>
      </c>
      <c r="FA11">
        <v>74.684229999999999</v>
      </c>
      <c r="FB11">
        <v>74.922399999999996</v>
      </c>
      <c r="FC11">
        <v>77.130709999999993</v>
      </c>
      <c r="FD11">
        <v>79.089569999999995</v>
      </c>
      <c r="FE11">
        <v>81.412400000000005</v>
      </c>
      <c r="FF11">
        <v>83.118899999999996</v>
      </c>
      <c r="FG11">
        <v>83.207229999999996</v>
      </c>
      <c r="FH11">
        <v>82.644859999999994</v>
      </c>
      <c r="FI11">
        <v>80.906199999999998</v>
      </c>
      <c r="FJ11">
        <v>79.143780000000007</v>
      </c>
      <c r="FK11">
        <v>77.82441</v>
      </c>
      <c r="FL11">
        <v>77.283590000000004</v>
      </c>
      <c r="FM11">
        <v>76.523600000000002</v>
      </c>
      <c r="FN11">
        <v>75.323250000000002</v>
      </c>
      <c r="FO11">
        <v>74.628749999999997</v>
      </c>
      <c r="FP11">
        <v>73.956789999999998</v>
      </c>
      <c r="FQ11">
        <v>1</v>
      </c>
    </row>
    <row r="12" spans="1:173" x14ac:dyDescent="0.2">
      <c r="A12" t="s">
        <v>234</v>
      </c>
      <c r="B12" s="66">
        <v>41892</v>
      </c>
      <c r="C12">
        <v>368</v>
      </c>
      <c r="D12">
        <v>723</v>
      </c>
      <c r="E12">
        <v>400.14729999999997</v>
      </c>
      <c r="F12">
        <v>393.26900000000001</v>
      </c>
      <c r="G12">
        <v>388.35070000000002</v>
      </c>
      <c r="H12">
        <v>387.8836</v>
      </c>
      <c r="I12">
        <v>399.98239999999998</v>
      </c>
      <c r="J12">
        <v>432.43419999999998</v>
      </c>
      <c r="K12">
        <v>486.04239999999999</v>
      </c>
      <c r="L12">
        <v>503.25439999999998</v>
      </c>
      <c r="M12">
        <v>525.67219999999998</v>
      </c>
      <c r="N12">
        <v>538.27560000000005</v>
      </c>
      <c r="O12">
        <v>545.27210000000002</v>
      </c>
      <c r="P12">
        <v>544.73109999999997</v>
      </c>
      <c r="Q12">
        <v>545.29259999999999</v>
      </c>
      <c r="R12">
        <v>542.43209999999999</v>
      </c>
      <c r="S12">
        <v>543.70090000000005</v>
      </c>
      <c r="T12">
        <v>535.08389999999997</v>
      </c>
      <c r="U12">
        <v>529.39670000000001</v>
      </c>
      <c r="V12">
        <v>512.37950000000001</v>
      </c>
      <c r="W12">
        <v>482.29259999999999</v>
      </c>
      <c r="X12">
        <v>470.17250000000001</v>
      </c>
      <c r="Y12">
        <v>466.67090000000002</v>
      </c>
      <c r="Z12">
        <v>454.28789999999998</v>
      </c>
      <c r="AA12">
        <v>433.77159999999998</v>
      </c>
      <c r="AB12">
        <v>397.1268</v>
      </c>
      <c r="AC12">
        <v>17.064990000000002</v>
      </c>
      <c r="AD12">
        <v>16.677769999999999</v>
      </c>
      <c r="AE12">
        <v>17.956320000000002</v>
      </c>
      <c r="AF12">
        <v>-7.0130340000000002</v>
      </c>
      <c r="AG12">
        <v>-35.051879999999997</v>
      </c>
      <c r="AH12">
        <v>-33.67756</v>
      </c>
      <c r="AI12">
        <v>4.41562E-2</v>
      </c>
      <c r="AJ12">
        <v>21.836880000000001</v>
      </c>
      <c r="AK12">
        <v>-3.0632299999999999</v>
      </c>
      <c r="AL12">
        <v>2.9558599999999999</v>
      </c>
      <c r="AM12">
        <v>-5.7937979999999998</v>
      </c>
      <c r="AN12">
        <v>31.422450000000001</v>
      </c>
      <c r="AO12">
        <v>59.096879999999999</v>
      </c>
      <c r="AP12">
        <v>52.624400000000001</v>
      </c>
      <c r="AQ12">
        <v>54.706130000000002</v>
      </c>
      <c r="AR12">
        <v>54.034950000000002</v>
      </c>
      <c r="AS12">
        <v>61.91281</v>
      </c>
      <c r="AT12">
        <v>56.97681</v>
      </c>
      <c r="AU12">
        <v>51.519820000000003</v>
      </c>
      <c r="AV12">
        <v>48.688589999999998</v>
      </c>
      <c r="AW12">
        <v>-1.315755</v>
      </c>
      <c r="AX12">
        <v>-5.9337819999999999</v>
      </c>
      <c r="AY12">
        <v>-14.247109999999999</v>
      </c>
      <c r="AZ12">
        <v>-36.747970000000002</v>
      </c>
      <c r="BA12">
        <v>18.706240000000001</v>
      </c>
      <c r="BB12">
        <v>18.20186</v>
      </c>
      <c r="BC12">
        <v>19.24212</v>
      </c>
      <c r="BD12">
        <v>-5.6628309999999997</v>
      </c>
      <c r="BE12">
        <v>-33.691139999999997</v>
      </c>
      <c r="BF12">
        <v>-32.381270000000001</v>
      </c>
      <c r="BG12">
        <v>1.690223</v>
      </c>
      <c r="BH12">
        <v>23.86637</v>
      </c>
      <c r="BI12">
        <v>-1.2172289999999999</v>
      </c>
      <c r="BJ12">
        <v>5.2641720000000003</v>
      </c>
      <c r="BK12">
        <v>-3.6475070000000001</v>
      </c>
      <c r="BL12">
        <v>34.144460000000002</v>
      </c>
      <c r="BM12">
        <v>61.566809999999997</v>
      </c>
      <c r="BN12">
        <v>55.707799999999999</v>
      </c>
      <c r="BO12">
        <v>58.041060000000002</v>
      </c>
      <c r="BP12">
        <v>57.128639999999997</v>
      </c>
      <c r="BQ12">
        <v>64.808109999999999</v>
      </c>
      <c r="BR12">
        <v>59.926459999999999</v>
      </c>
      <c r="BS12">
        <v>54.612690000000001</v>
      </c>
      <c r="BT12">
        <v>51.536349999999999</v>
      </c>
      <c r="BU12">
        <v>1.715911</v>
      </c>
      <c r="BV12">
        <v>-2.6669700000000001</v>
      </c>
      <c r="BW12">
        <v>-10.836589999999999</v>
      </c>
      <c r="BX12">
        <v>-34.472099999999998</v>
      </c>
      <c r="BY12">
        <v>19.842960000000001</v>
      </c>
      <c r="BZ12">
        <v>19.257429999999999</v>
      </c>
      <c r="CA12">
        <v>20.132650000000002</v>
      </c>
      <c r="CB12">
        <v>-4.727684</v>
      </c>
      <c r="CC12">
        <v>-32.748690000000003</v>
      </c>
      <c r="CD12">
        <v>-31.483460000000001</v>
      </c>
      <c r="CE12">
        <v>2.8302839999999998</v>
      </c>
      <c r="CF12">
        <v>25.271979999999999</v>
      </c>
      <c r="CG12">
        <v>6.1305999999999999E-2</v>
      </c>
      <c r="CH12">
        <v>6.8629020000000001</v>
      </c>
      <c r="CI12">
        <v>-2.1609919999999998</v>
      </c>
      <c r="CJ12">
        <v>36.029719999999998</v>
      </c>
      <c r="CK12">
        <v>63.277479999999997</v>
      </c>
      <c r="CL12">
        <v>57.843359999999997</v>
      </c>
      <c r="CM12">
        <v>60.350819999999999</v>
      </c>
      <c r="CN12">
        <v>59.271320000000003</v>
      </c>
      <c r="CO12">
        <v>66.813389999999998</v>
      </c>
      <c r="CP12">
        <v>61.969369999999998</v>
      </c>
      <c r="CQ12">
        <v>56.754800000000003</v>
      </c>
      <c r="CR12">
        <v>53.508690000000001</v>
      </c>
      <c r="CS12">
        <v>3.8156340000000002</v>
      </c>
      <c r="CT12">
        <v>-0.4043852</v>
      </c>
      <c r="CU12">
        <v>-8.4744709999999994</v>
      </c>
      <c r="CV12">
        <v>-32.895829999999997</v>
      </c>
      <c r="CW12">
        <v>20.979679999999998</v>
      </c>
      <c r="CX12">
        <v>20.313009999999998</v>
      </c>
      <c r="CY12">
        <v>21.02319</v>
      </c>
      <c r="CZ12">
        <v>-3.7925369999999998</v>
      </c>
      <c r="DA12">
        <v>-31.806239999999999</v>
      </c>
      <c r="DB12">
        <v>-30.585650000000001</v>
      </c>
      <c r="DC12">
        <v>3.970345</v>
      </c>
      <c r="DD12">
        <v>26.677600000000002</v>
      </c>
      <c r="DE12">
        <v>1.3398410000000001</v>
      </c>
      <c r="DF12">
        <v>8.4616319999999998</v>
      </c>
      <c r="DG12">
        <v>-0.67447670000000004</v>
      </c>
      <c r="DH12">
        <v>37.914969999999997</v>
      </c>
      <c r="DI12">
        <v>64.988150000000005</v>
      </c>
      <c r="DJ12">
        <v>59.978909999999999</v>
      </c>
      <c r="DK12">
        <v>62.660580000000003</v>
      </c>
      <c r="DL12">
        <v>61.414000000000001</v>
      </c>
      <c r="DM12">
        <v>68.818659999999994</v>
      </c>
      <c r="DN12">
        <v>64.012280000000004</v>
      </c>
      <c r="DO12">
        <v>58.896920000000001</v>
      </c>
      <c r="DP12">
        <v>55.48104</v>
      </c>
      <c r="DQ12">
        <v>5.9153560000000001</v>
      </c>
      <c r="DR12">
        <v>1.8581989999999999</v>
      </c>
      <c r="DS12">
        <v>-6.1123560000000001</v>
      </c>
      <c r="DT12">
        <v>-31.319569999999999</v>
      </c>
      <c r="DU12">
        <v>22.620930000000001</v>
      </c>
      <c r="DV12">
        <v>21.83709</v>
      </c>
      <c r="DW12">
        <v>22.308979999999998</v>
      </c>
      <c r="DX12">
        <v>-2.4423330000000001</v>
      </c>
      <c r="DY12">
        <v>-30.445499999999999</v>
      </c>
      <c r="DZ12">
        <v>-29.289359999999999</v>
      </c>
      <c r="EA12">
        <v>5.6164120000000004</v>
      </c>
      <c r="EB12">
        <v>28.707090000000001</v>
      </c>
      <c r="EC12">
        <v>3.1858420000000001</v>
      </c>
      <c r="ED12">
        <v>10.76994</v>
      </c>
      <c r="EE12">
        <v>1.4718150000000001</v>
      </c>
      <c r="EF12">
        <v>40.636980000000001</v>
      </c>
      <c r="EG12">
        <v>67.458089999999999</v>
      </c>
      <c r="EH12">
        <v>63.06232</v>
      </c>
      <c r="EI12">
        <v>65.995509999999996</v>
      </c>
      <c r="EJ12">
        <v>64.507689999999997</v>
      </c>
      <c r="EK12">
        <v>71.71396</v>
      </c>
      <c r="EL12">
        <v>66.961929999999995</v>
      </c>
      <c r="EM12">
        <v>61.989789999999999</v>
      </c>
      <c r="EN12">
        <v>58.328800000000001</v>
      </c>
      <c r="EO12">
        <v>8.9470209999999994</v>
      </c>
      <c r="EP12">
        <v>5.1250119999999999</v>
      </c>
      <c r="EQ12">
        <v>-2.7018360000000001</v>
      </c>
      <c r="ER12">
        <v>-29.043690000000002</v>
      </c>
      <c r="ES12">
        <v>66.707369999999997</v>
      </c>
      <c r="ET12">
        <v>66.203450000000004</v>
      </c>
      <c r="EU12">
        <v>65.451639999999998</v>
      </c>
      <c r="EV12">
        <v>64.691289999999995</v>
      </c>
      <c r="EW12">
        <v>64.182519999999997</v>
      </c>
      <c r="EX12">
        <v>64.236639999999994</v>
      </c>
      <c r="EY12">
        <v>66.475560000000002</v>
      </c>
      <c r="EZ12">
        <v>70.635360000000006</v>
      </c>
      <c r="FA12">
        <v>75.397810000000007</v>
      </c>
      <c r="FB12">
        <v>79.683899999999994</v>
      </c>
      <c r="FC12">
        <v>82.703800000000001</v>
      </c>
      <c r="FD12">
        <v>85.095410000000001</v>
      </c>
      <c r="FE12">
        <v>87.265519999999995</v>
      </c>
      <c r="FF12">
        <v>87.989270000000005</v>
      </c>
      <c r="FG12">
        <v>88.186449999999994</v>
      </c>
      <c r="FH12">
        <v>87.169160000000005</v>
      </c>
      <c r="FI12">
        <v>85.381460000000004</v>
      </c>
      <c r="FJ12">
        <v>82.140789999999996</v>
      </c>
      <c r="FK12">
        <v>78.302210000000002</v>
      </c>
      <c r="FL12">
        <v>75.759860000000003</v>
      </c>
      <c r="FM12">
        <v>74.816460000000006</v>
      </c>
      <c r="FN12">
        <v>73.852549999999994</v>
      </c>
      <c r="FO12">
        <v>72.183459999999997</v>
      </c>
      <c r="FP12">
        <v>71.541340000000005</v>
      </c>
      <c r="FQ12">
        <v>1</v>
      </c>
    </row>
    <row r="13" spans="1:173" x14ac:dyDescent="0.2">
      <c r="A13" t="s">
        <v>234</v>
      </c>
      <c r="B13" s="66">
        <v>41897</v>
      </c>
      <c r="C13">
        <v>383</v>
      </c>
      <c r="D13">
        <v>723</v>
      </c>
      <c r="E13">
        <v>383.94560000000001</v>
      </c>
      <c r="F13">
        <v>385.54300000000001</v>
      </c>
      <c r="G13">
        <v>380.7604</v>
      </c>
      <c r="H13">
        <v>377.04329999999999</v>
      </c>
      <c r="I13">
        <v>398.1019</v>
      </c>
      <c r="J13">
        <v>436.11919999999998</v>
      </c>
      <c r="K13">
        <v>487.93560000000002</v>
      </c>
      <c r="L13">
        <v>524.88670000000002</v>
      </c>
      <c r="M13">
        <v>550.11090000000002</v>
      </c>
      <c r="N13">
        <v>567.27419999999995</v>
      </c>
      <c r="O13">
        <v>562.43939999999998</v>
      </c>
      <c r="P13">
        <v>576.48360000000002</v>
      </c>
      <c r="Q13">
        <v>569.71640000000002</v>
      </c>
      <c r="R13">
        <v>568.90700000000004</v>
      </c>
      <c r="S13">
        <v>552.7654</v>
      </c>
      <c r="T13">
        <v>550.29319999999996</v>
      </c>
      <c r="U13">
        <v>541.64239999999995</v>
      </c>
      <c r="V13">
        <v>526.30150000000003</v>
      </c>
      <c r="W13">
        <v>489.81900000000002</v>
      </c>
      <c r="X13">
        <v>469.57380000000001</v>
      </c>
      <c r="Y13">
        <v>465.41109999999998</v>
      </c>
      <c r="Z13">
        <v>452.95310000000001</v>
      </c>
      <c r="AA13">
        <v>437.68119999999999</v>
      </c>
      <c r="AB13">
        <v>405.69659999999999</v>
      </c>
      <c r="AC13">
        <v>24.84591</v>
      </c>
      <c r="AD13">
        <v>24.15823</v>
      </c>
      <c r="AE13">
        <v>16.863160000000001</v>
      </c>
      <c r="AF13">
        <v>-38.251530000000002</v>
      </c>
      <c r="AG13">
        <v>-27.246210000000001</v>
      </c>
      <c r="AH13">
        <v>-33.375439999999998</v>
      </c>
      <c r="AI13">
        <v>-7.1588820000000002</v>
      </c>
      <c r="AJ13">
        <v>13.960470000000001</v>
      </c>
      <c r="AK13">
        <v>11.468529999999999</v>
      </c>
      <c r="AL13">
        <v>18.28969</v>
      </c>
      <c r="AM13">
        <v>24.78218</v>
      </c>
      <c r="AN13">
        <v>44.620069999999998</v>
      </c>
      <c r="AO13">
        <v>57.474339999999998</v>
      </c>
      <c r="AP13">
        <v>60.895200000000003</v>
      </c>
      <c r="AQ13">
        <v>49.186399999999999</v>
      </c>
      <c r="AR13">
        <v>62.46331</v>
      </c>
      <c r="AS13">
        <v>71.243970000000004</v>
      </c>
      <c r="AT13">
        <v>65.87397</v>
      </c>
      <c r="AU13">
        <v>54.694389999999999</v>
      </c>
      <c r="AV13">
        <v>18.653849999999998</v>
      </c>
      <c r="AW13">
        <v>21.12585</v>
      </c>
      <c r="AX13">
        <v>-35.682989999999997</v>
      </c>
      <c r="AY13">
        <v>-37.046950000000002</v>
      </c>
      <c r="AZ13">
        <v>-49.889189999999999</v>
      </c>
      <c r="BA13">
        <v>29.75478</v>
      </c>
      <c r="BB13">
        <v>28.796849999999999</v>
      </c>
      <c r="BC13">
        <v>20.39837</v>
      </c>
      <c r="BD13">
        <v>-33.342390000000002</v>
      </c>
      <c r="BE13">
        <v>-23.065650000000002</v>
      </c>
      <c r="BF13">
        <v>-29.926870000000001</v>
      </c>
      <c r="BG13">
        <v>-2.495155</v>
      </c>
      <c r="BH13">
        <v>18.348569999999999</v>
      </c>
      <c r="BI13">
        <v>15.6244</v>
      </c>
      <c r="BJ13">
        <v>23.315159999999999</v>
      </c>
      <c r="BK13">
        <v>29.823129999999999</v>
      </c>
      <c r="BL13">
        <v>49.843229999999998</v>
      </c>
      <c r="BM13">
        <v>62.697510000000001</v>
      </c>
      <c r="BN13">
        <v>65.895160000000004</v>
      </c>
      <c r="BO13">
        <v>54.491390000000003</v>
      </c>
      <c r="BP13">
        <v>68.740979999999993</v>
      </c>
      <c r="BQ13">
        <v>76.268410000000003</v>
      </c>
      <c r="BR13">
        <v>71.132009999999994</v>
      </c>
      <c r="BS13">
        <v>60.952640000000002</v>
      </c>
      <c r="BT13">
        <v>25.09741</v>
      </c>
      <c r="BU13">
        <v>27.56765</v>
      </c>
      <c r="BV13">
        <v>-29.335819999999998</v>
      </c>
      <c r="BW13">
        <v>-29.79588</v>
      </c>
      <c r="BX13">
        <v>-44.078740000000003</v>
      </c>
      <c r="BY13">
        <v>33.154649999999997</v>
      </c>
      <c r="BZ13">
        <v>32.009549999999997</v>
      </c>
      <c r="CA13">
        <v>22.84684</v>
      </c>
      <c r="CB13">
        <v>-29.942340000000002</v>
      </c>
      <c r="CC13">
        <v>-20.170210000000001</v>
      </c>
      <c r="CD13">
        <v>-27.538399999999999</v>
      </c>
      <c r="CE13">
        <v>0.73492769999999996</v>
      </c>
      <c r="CF13">
        <v>21.38776</v>
      </c>
      <c r="CG13">
        <v>18.502739999999999</v>
      </c>
      <c r="CH13">
        <v>26.795780000000001</v>
      </c>
      <c r="CI13">
        <v>33.31447</v>
      </c>
      <c r="CJ13">
        <v>53.460769999999997</v>
      </c>
      <c r="CK13">
        <v>66.315060000000003</v>
      </c>
      <c r="CL13">
        <v>69.35812</v>
      </c>
      <c r="CM13">
        <v>58.165610000000001</v>
      </c>
      <c r="CN13">
        <v>73.088880000000003</v>
      </c>
      <c r="CO13">
        <v>79.748320000000007</v>
      </c>
      <c r="CP13">
        <v>74.773719999999997</v>
      </c>
      <c r="CQ13">
        <v>65.287090000000006</v>
      </c>
      <c r="CR13">
        <v>29.560199999999998</v>
      </c>
      <c r="CS13">
        <v>32.029220000000002</v>
      </c>
      <c r="CT13">
        <v>-24.939789999999999</v>
      </c>
      <c r="CU13">
        <v>-24.773820000000001</v>
      </c>
      <c r="CV13">
        <v>-40.05444</v>
      </c>
      <c r="CW13">
        <v>36.554519999999997</v>
      </c>
      <c r="CX13">
        <v>35.222239999999999</v>
      </c>
      <c r="CY13">
        <v>25.29532</v>
      </c>
      <c r="CZ13">
        <v>-26.542280000000002</v>
      </c>
      <c r="DA13">
        <v>-17.274760000000001</v>
      </c>
      <c r="DB13">
        <v>-25.149930000000001</v>
      </c>
      <c r="DC13">
        <v>3.9650099999999999</v>
      </c>
      <c r="DD13">
        <v>24.426939999999998</v>
      </c>
      <c r="DE13">
        <v>21.381070000000001</v>
      </c>
      <c r="DF13">
        <v>30.276399999999999</v>
      </c>
      <c r="DG13">
        <v>36.805819999999997</v>
      </c>
      <c r="DH13">
        <v>57.078319999999998</v>
      </c>
      <c r="DI13">
        <v>69.93262</v>
      </c>
      <c r="DJ13">
        <v>72.821079999999995</v>
      </c>
      <c r="DK13">
        <v>61.839829999999999</v>
      </c>
      <c r="DL13">
        <v>77.436779999999999</v>
      </c>
      <c r="DM13">
        <v>83.228229999999996</v>
      </c>
      <c r="DN13">
        <v>78.415430000000001</v>
      </c>
      <c r="DO13">
        <v>69.621539999999996</v>
      </c>
      <c r="DP13">
        <v>34.02299</v>
      </c>
      <c r="DQ13">
        <v>36.490780000000001</v>
      </c>
      <c r="DR13">
        <v>-20.543759999999999</v>
      </c>
      <c r="DS13">
        <v>-19.751750000000001</v>
      </c>
      <c r="DT13">
        <v>-36.03013</v>
      </c>
      <c r="DU13">
        <v>41.463380000000001</v>
      </c>
      <c r="DV13">
        <v>39.860869999999998</v>
      </c>
      <c r="DW13">
        <v>28.83052</v>
      </c>
      <c r="DX13">
        <v>-21.633140000000001</v>
      </c>
      <c r="DY13">
        <v>-13.094200000000001</v>
      </c>
      <c r="DZ13">
        <v>-21.701360000000001</v>
      </c>
      <c r="EA13">
        <v>8.628736</v>
      </c>
      <c r="EB13">
        <v>28.81504</v>
      </c>
      <c r="EC13">
        <v>25.536940000000001</v>
      </c>
      <c r="ED13">
        <v>35.301859999999998</v>
      </c>
      <c r="EE13">
        <v>41.846760000000003</v>
      </c>
      <c r="EF13">
        <v>62.301479999999998</v>
      </c>
      <c r="EG13">
        <v>75.155779999999993</v>
      </c>
      <c r="EH13">
        <v>77.82105</v>
      </c>
      <c r="EI13">
        <v>67.144819999999996</v>
      </c>
      <c r="EJ13">
        <v>83.714449999999999</v>
      </c>
      <c r="EK13">
        <v>88.252669999999995</v>
      </c>
      <c r="EL13">
        <v>83.673469999999995</v>
      </c>
      <c r="EM13">
        <v>75.87979</v>
      </c>
      <c r="EN13">
        <v>40.466549999999998</v>
      </c>
      <c r="EO13">
        <v>42.932580000000002</v>
      </c>
      <c r="EP13">
        <v>-14.19659</v>
      </c>
      <c r="EQ13">
        <v>-12.500679999999999</v>
      </c>
      <c r="ER13">
        <v>-30.21968</v>
      </c>
      <c r="ES13">
        <v>77.106610000000003</v>
      </c>
      <c r="ET13">
        <v>75.96875</v>
      </c>
      <c r="EU13">
        <v>75.718249999999998</v>
      </c>
      <c r="EV13">
        <v>75.881559999999993</v>
      </c>
      <c r="EW13">
        <v>74.709900000000005</v>
      </c>
      <c r="EX13">
        <v>73.923109999999994</v>
      </c>
      <c r="EY13">
        <v>76.504170000000002</v>
      </c>
      <c r="EZ13">
        <v>80.358239999999995</v>
      </c>
      <c r="FA13">
        <v>84.949449999999999</v>
      </c>
      <c r="FB13">
        <v>89.340230000000005</v>
      </c>
      <c r="FC13">
        <v>92.397549999999995</v>
      </c>
      <c r="FD13">
        <v>93.983099999999993</v>
      </c>
      <c r="FE13">
        <v>94.411479999999997</v>
      </c>
      <c r="FF13">
        <v>95.500110000000006</v>
      </c>
      <c r="FG13">
        <v>96.426060000000007</v>
      </c>
      <c r="FH13">
        <v>95.545720000000003</v>
      </c>
      <c r="FI13">
        <v>94.679789999999997</v>
      </c>
      <c r="FJ13">
        <v>91.41995</v>
      </c>
      <c r="FK13">
        <v>87.882360000000006</v>
      </c>
      <c r="FL13">
        <v>85.899839999999998</v>
      </c>
      <c r="FM13">
        <v>84.100809999999996</v>
      </c>
      <c r="FN13">
        <v>83.084620000000001</v>
      </c>
      <c r="FO13">
        <v>81.871740000000003</v>
      </c>
      <c r="FP13">
        <v>80.815029999999993</v>
      </c>
      <c r="FQ13">
        <v>1</v>
      </c>
    </row>
    <row r="14" spans="1:173" x14ac:dyDescent="0.2">
      <c r="A14" t="s">
        <v>234</v>
      </c>
      <c r="B14" s="66">
        <v>41899</v>
      </c>
      <c r="C14">
        <v>386</v>
      </c>
      <c r="D14">
        <v>722</v>
      </c>
      <c r="E14">
        <v>424.79349999999999</v>
      </c>
      <c r="F14">
        <v>421.95400000000001</v>
      </c>
      <c r="G14">
        <v>414.09750000000003</v>
      </c>
      <c r="H14">
        <v>409.9461</v>
      </c>
      <c r="I14">
        <v>425.34730000000002</v>
      </c>
      <c r="J14">
        <v>461.08240000000001</v>
      </c>
      <c r="K14">
        <v>518.4</v>
      </c>
      <c r="L14">
        <v>548.10969999999998</v>
      </c>
      <c r="M14">
        <v>578.21730000000002</v>
      </c>
      <c r="N14">
        <v>595.47299999999996</v>
      </c>
      <c r="O14">
        <v>585.50229999999999</v>
      </c>
      <c r="P14">
        <v>590.63729999999998</v>
      </c>
      <c r="Q14">
        <v>577.74720000000002</v>
      </c>
      <c r="R14">
        <v>572.48</v>
      </c>
      <c r="S14">
        <v>556.48739999999998</v>
      </c>
      <c r="T14">
        <v>554.7097</v>
      </c>
      <c r="U14">
        <v>550.77859999999998</v>
      </c>
      <c r="V14">
        <v>530.87270000000001</v>
      </c>
      <c r="W14">
        <v>497.29590000000002</v>
      </c>
      <c r="X14">
        <v>482.17880000000002</v>
      </c>
      <c r="Y14">
        <v>488.00009999999997</v>
      </c>
      <c r="Z14">
        <v>478.27069999999998</v>
      </c>
      <c r="AA14">
        <v>458.1472</v>
      </c>
      <c r="AB14">
        <v>421.6814</v>
      </c>
      <c r="AC14">
        <v>18.473500000000001</v>
      </c>
      <c r="AD14">
        <v>19.756920000000001</v>
      </c>
      <c r="AE14">
        <v>3.0360990000000001</v>
      </c>
      <c r="AF14">
        <v>-31.446629999999999</v>
      </c>
      <c r="AG14">
        <v>-45.517690000000002</v>
      </c>
      <c r="AH14">
        <v>-33.681640000000002</v>
      </c>
      <c r="AI14">
        <v>-14.093680000000001</v>
      </c>
      <c r="AJ14">
        <v>-2.7974169999999998</v>
      </c>
      <c r="AK14">
        <v>24.638780000000001</v>
      </c>
      <c r="AL14">
        <v>1.4450799999999999</v>
      </c>
      <c r="AM14">
        <v>-23.608419999999999</v>
      </c>
      <c r="AN14">
        <v>41.372480000000003</v>
      </c>
      <c r="AO14">
        <v>66.9572</v>
      </c>
      <c r="AP14">
        <v>69.471909999999994</v>
      </c>
      <c r="AQ14">
        <v>62.269979999999997</v>
      </c>
      <c r="AR14">
        <v>73.257900000000006</v>
      </c>
      <c r="AS14">
        <v>79.495260000000002</v>
      </c>
      <c r="AT14">
        <v>68.847579999999994</v>
      </c>
      <c r="AU14">
        <v>60.490989999999996</v>
      </c>
      <c r="AV14">
        <v>50.894770000000001</v>
      </c>
      <c r="AW14">
        <v>9.9273609999999994</v>
      </c>
      <c r="AX14">
        <v>6.4242109999999997</v>
      </c>
      <c r="AY14">
        <v>39.9649</v>
      </c>
      <c r="AZ14">
        <v>12.744059999999999</v>
      </c>
      <c r="BA14">
        <v>23.215389999999999</v>
      </c>
      <c r="BB14">
        <v>24.5396</v>
      </c>
      <c r="BC14">
        <v>6.1201379999999999</v>
      </c>
      <c r="BD14">
        <v>-26.74549</v>
      </c>
      <c r="BE14">
        <v>-41.409289999999999</v>
      </c>
      <c r="BF14">
        <v>-30.289359999999999</v>
      </c>
      <c r="BG14">
        <v>-10.31062</v>
      </c>
      <c r="BH14">
        <v>0.59466450000000004</v>
      </c>
      <c r="BI14">
        <v>27.55911</v>
      </c>
      <c r="BJ14">
        <v>4.9263719999999998</v>
      </c>
      <c r="BK14">
        <v>-19.497769999999999</v>
      </c>
      <c r="BL14">
        <v>45.297370000000001</v>
      </c>
      <c r="BM14">
        <v>71.147210000000001</v>
      </c>
      <c r="BN14">
        <v>73.956090000000003</v>
      </c>
      <c r="BO14">
        <v>66.912850000000006</v>
      </c>
      <c r="BP14">
        <v>78.023870000000002</v>
      </c>
      <c r="BQ14">
        <v>83.737849999999995</v>
      </c>
      <c r="BR14">
        <v>73.800280000000001</v>
      </c>
      <c r="BS14">
        <v>65.942920000000001</v>
      </c>
      <c r="BT14">
        <v>56.566719999999997</v>
      </c>
      <c r="BU14">
        <v>14.94075</v>
      </c>
      <c r="BV14">
        <v>10.98138</v>
      </c>
      <c r="BW14">
        <v>43.873339999999999</v>
      </c>
      <c r="BX14">
        <v>15.93191</v>
      </c>
      <c r="BY14">
        <v>26.499600000000001</v>
      </c>
      <c r="BZ14">
        <v>27.852070000000001</v>
      </c>
      <c r="CA14">
        <v>8.2561330000000002</v>
      </c>
      <c r="CB14">
        <v>-23.4895</v>
      </c>
      <c r="CC14">
        <v>-38.563830000000003</v>
      </c>
      <c r="CD14">
        <v>-27.939869999999999</v>
      </c>
      <c r="CE14">
        <v>-7.6904890000000004</v>
      </c>
      <c r="CF14">
        <v>2.94401</v>
      </c>
      <c r="CG14">
        <v>29.581720000000001</v>
      </c>
      <c r="CH14">
        <v>7.337504</v>
      </c>
      <c r="CI14">
        <v>-16.650739999999999</v>
      </c>
      <c r="CJ14">
        <v>48.015740000000001</v>
      </c>
      <c r="CK14">
        <v>74.049189999999996</v>
      </c>
      <c r="CL14">
        <v>77.061819999999997</v>
      </c>
      <c r="CM14">
        <v>70.128489999999999</v>
      </c>
      <c r="CN14">
        <v>81.324770000000001</v>
      </c>
      <c r="CO14">
        <v>86.676240000000007</v>
      </c>
      <c r="CP14">
        <v>77.230500000000006</v>
      </c>
      <c r="CQ14">
        <v>69.718909999999994</v>
      </c>
      <c r="CR14">
        <v>60.495089999999998</v>
      </c>
      <c r="CS14">
        <v>18.413019999999999</v>
      </c>
      <c r="CT14">
        <v>14.137650000000001</v>
      </c>
      <c r="CU14">
        <v>46.580309999999997</v>
      </c>
      <c r="CV14">
        <v>18.139800000000001</v>
      </c>
      <c r="CW14">
        <v>29.783819999999999</v>
      </c>
      <c r="CX14">
        <v>31.164539999999999</v>
      </c>
      <c r="CY14">
        <v>10.39213</v>
      </c>
      <c r="CZ14">
        <v>-20.233509999999999</v>
      </c>
      <c r="DA14">
        <v>-35.71837</v>
      </c>
      <c r="DB14">
        <v>-25.590389999999999</v>
      </c>
      <c r="DC14">
        <v>-5.0703569999999996</v>
      </c>
      <c r="DD14">
        <v>5.293355</v>
      </c>
      <c r="DE14">
        <v>31.604330000000001</v>
      </c>
      <c r="DF14">
        <v>9.7486359999999994</v>
      </c>
      <c r="DG14">
        <v>-13.803710000000001</v>
      </c>
      <c r="DH14">
        <v>50.734110000000001</v>
      </c>
      <c r="DI14">
        <v>76.951179999999994</v>
      </c>
      <c r="DJ14">
        <v>80.167550000000006</v>
      </c>
      <c r="DK14">
        <v>73.344120000000004</v>
      </c>
      <c r="DL14">
        <v>84.625659999999996</v>
      </c>
      <c r="DM14">
        <v>89.614630000000005</v>
      </c>
      <c r="DN14">
        <v>80.660719999999998</v>
      </c>
      <c r="DO14">
        <v>73.494900000000001</v>
      </c>
      <c r="DP14">
        <v>64.423460000000006</v>
      </c>
      <c r="DQ14">
        <v>21.885280000000002</v>
      </c>
      <c r="DR14">
        <v>17.29393</v>
      </c>
      <c r="DS14">
        <v>49.287289999999999</v>
      </c>
      <c r="DT14">
        <v>20.3477</v>
      </c>
      <c r="DU14">
        <v>34.525709999999997</v>
      </c>
      <c r="DV14">
        <v>35.947220000000002</v>
      </c>
      <c r="DW14">
        <v>13.47617</v>
      </c>
      <c r="DX14">
        <v>-15.53237</v>
      </c>
      <c r="DY14">
        <v>-31.609970000000001</v>
      </c>
      <c r="DZ14">
        <v>-22.1981</v>
      </c>
      <c r="EA14">
        <v>-1.287301</v>
      </c>
      <c r="EB14">
        <v>8.6854370000000003</v>
      </c>
      <c r="EC14">
        <v>34.524659999999997</v>
      </c>
      <c r="ED14">
        <v>13.22993</v>
      </c>
      <c r="EE14">
        <v>-9.6930580000000006</v>
      </c>
      <c r="EF14">
        <v>54.658999999999999</v>
      </c>
      <c r="EG14">
        <v>81.141189999999995</v>
      </c>
      <c r="EH14">
        <v>84.651730000000001</v>
      </c>
      <c r="EI14">
        <v>77.986990000000006</v>
      </c>
      <c r="EJ14">
        <v>89.391639999999995</v>
      </c>
      <c r="EK14">
        <v>93.857219999999998</v>
      </c>
      <c r="EL14">
        <v>85.613420000000005</v>
      </c>
      <c r="EM14">
        <v>78.946830000000006</v>
      </c>
      <c r="EN14">
        <v>70.095410000000001</v>
      </c>
      <c r="EO14">
        <v>26.898669999999999</v>
      </c>
      <c r="EP14">
        <v>21.851099999999999</v>
      </c>
      <c r="EQ14">
        <v>53.195729999999998</v>
      </c>
      <c r="ER14">
        <v>23.535550000000001</v>
      </c>
      <c r="ES14">
        <v>80.968800000000002</v>
      </c>
      <c r="ET14">
        <v>79.252970000000005</v>
      </c>
      <c r="EU14">
        <v>78.245800000000003</v>
      </c>
      <c r="EV14">
        <v>77.89913</v>
      </c>
      <c r="EW14">
        <v>77.959879999999998</v>
      </c>
      <c r="EX14">
        <v>77.777029999999996</v>
      </c>
      <c r="EY14">
        <v>79.446929999999995</v>
      </c>
      <c r="EZ14">
        <v>83.654560000000004</v>
      </c>
      <c r="FA14">
        <v>87.717640000000003</v>
      </c>
      <c r="FB14">
        <v>90.142390000000006</v>
      </c>
      <c r="FC14">
        <v>90.789860000000004</v>
      </c>
      <c r="FD14">
        <v>91.084630000000004</v>
      </c>
      <c r="FE14">
        <v>91.363510000000005</v>
      </c>
      <c r="FF14">
        <v>90.829639999999998</v>
      </c>
      <c r="FG14">
        <v>90.734880000000004</v>
      </c>
      <c r="FH14">
        <v>89.750889999999998</v>
      </c>
      <c r="FI14">
        <v>87.450860000000006</v>
      </c>
      <c r="FJ14">
        <v>83.454409999999996</v>
      </c>
      <c r="FK14">
        <v>80.411910000000006</v>
      </c>
      <c r="FL14">
        <v>77.962770000000006</v>
      </c>
      <c r="FM14">
        <v>76.271569999999997</v>
      </c>
      <c r="FN14">
        <v>74.861279999999994</v>
      </c>
      <c r="FO14">
        <v>73.469409999999996</v>
      </c>
      <c r="FP14">
        <v>72.437809999999999</v>
      </c>
      <c r="FQ14">
        <v>1</v>
      </c>
    </row>
    <row r="15" spans="1:173" x14ac:dyDescent="0.2">
      <c r="A15" t="s">
        <v>234</v>
      </c>
      <c r="B15" s="66">
        <v>41914</v>
      </c>
      <c r="C15">
        <v>375</v>
      </c>
      <c r="D15">
        <v>723</v>
      </c>
      <c r="E15">
        <v>367.36020000000002</v>
      </c>
      <c r="F15">
        <v>362.21820000000002</v>
      </c>
      <c r="G15">
        <v>358.98700000000002</v>
      </c>
      <c r="H15">
        <v>359.8707</v>
      </c>
      <c r="I15">
        <v>373.38690000000003</v>
      </c>
      <c r="J15">
        <v>395.34379999999999</v>
      </c>
      <c r="K15">
        <v>422.67039999999997</v>
      </c>
      <c r="L15">
        <v>438.3698</v>
      </c>
      <c r="M15">
        <v>458.36099999999999</v>
      </c>
      <c r="N15">
        <v>476.18040000000002</v>
      </c>
      <c r="O15">
        <v>490.85270000000003</v>
      </c>
      <c r="P15">
        <v>500.20150000000001</v>
      </c>
      <c r="Q15">
        <v>502.61450000000002</v>
      </c>
      <c r="R15">
        <v>500.9314</v>
      </c>
      <c r="S15">
        <v>498.3571</v>
      </c>
      <c r="T15">
        <v>489.3639</v>
      </c>
      <c r="U15">
        <v>483.38159999999999</v>
      </c>
      <c r="V15">
        <v>468.60039999999998</v>
      </c>
      <c r="W15">
        <v>436.9658</v>
      </c>
      <c r="X15">
        <v>421.11360000000002</v>
      </c>
      <c r="Y15">
        <v>412.41649999999998</v>
      </c>
      <c r="Z15">
        <v>403.38729999999998</v>
      </c>
      <c r="AA15">
        <v>387.70760000000001</v>
      </c>
      <c r="AB15">
        <v>375.75490000000002</v>
      </c>
      <c r="AC15">
        <v>-7.7934770000000002</v>
      </c>
      <c r="AD15">
        <v>-6.8697290000000004</v>
      </c>
      <c r="AE15">
        <v>-3.6309079999999998</v>
      </c>
      <c r="AF15">
        <v>-0.83940950000000003</v>
      </c>
      <c r="AG15">
        <v>-2.342171</v>
      </c>
      <c r="AH15">
        <v>-0.63708940000000003</v>
      </c>
      <c r="AI15">
        <v>-3.5641989999999999</v>
      </c>
      <c r="AJ15">
        <v>-5.9463049999999997</v>
      </c>
      <c r="AK15">
        <v>-6.3164889999999998</v>
      </c>
      <c r="AL15">
        <v>-8.5203900000000008</v>
      </c>
      <c r="AM15">
        <v>-3.9359660000000001</v>
      </c>
      <c r="AN15">
        <v>11.63322</v>
      </c>
      <c r="AO15">
        <v>40.40719</v>
      </c>
      <c r="AP15">
        <v>40.692329999999998</v>
      </c>
      <c r="AQ15">
        <v>38.102240000000002</v>
      </c>
      <c r="AR15">
        <v>36.283439999999999</v>
      </c>
      <c r="AS15">
        <v>36.630119999999998</v>
      </c>
      <c r="AT15">
        <v>33.821300000000001</v>
      </c>
      <c r="AU15">
        <v>26.037759999999999</v>
      </c>
      <c r="AV15">
        <v>23.692820000000001</v>
      </c>
      <c r="AW15">
        <v>14.480829999999999</v>
      </c>
      <c r="AX15">
        <v>6.4072380000000004</v>
      </c>
      <c r="AY15">
        <v>0.19770470000000001</v>
      </c>
      <c r="AZ15">
        <v>3.767881</v>
      </c>
      <c r="BA15">
        <v>-5.2628760000000003</v>
      </c>
      <c r="BB15">
        <v>-4.5237170000000004</v>
      </c>
      <c r="BC15">
        <v>-1.935676</v>
      </c>
      <c r="BD15">
        <v>0.99475690000000005</v>
      </c>
      <c r="BE15">
        <v>-0.12479179999999999</v>
      </c>
      <c r="BF15">
        <v>0.470634</v>
      </c>
      <c r="BG15">
        <v>-1.456701</v>
      </c>
      <c r="BH15">
        <v>-3.4282710000000001</v>
      </c>
      <c r="BI15">
        <v>-3.4187379999999998</v>
      </c>
      <c r="BJ15">
        <v>-4.38544</v>
      </c>
      <c r="BK15">
        <v>-0.37954690000000002</v>
      </c>
      <c r="BL15">
        <v>15.92783</v>
      </c>
      <c r="BM15">
        <v>44.033540000000002</v>
      </c>
      <c r="BN15">
        <v>44.369219999999999</v>
      </c>
      <c r="BO15">
        <v>41.865789999999997</v>
      </c>
      <c r="BP15">
        <v>40.287730000000003</v>
      </c>
      <c r="BQ15">
        <v>40.675800000000002</v>
      </c>
      <c r="BR15">
        <v>38.296100000000003</v>
      </c>
      <c r="BS15">
        <v>30.991499999999998</v>
      </c>
      <c r="BT15">
        <v>28.979179999999999</v>
      </c>
      <c r="BU15">
        <v>20.062940000000001</v>
      </c>
      <c r="BV15">
        <v>12.942920000000001</v>
      </c>
      <c r="BW15">
        <v>6.4979959999999997</v>
      </c>
      <c r="BX15">
        <v>7.8135450000000004</v>
      </c>
      <c r="BY15">
        <v>-3.510189</v>
      </c>
      <c r="BZ15">
        <v>-2.8988770000000001</v>
      </c>
      <c r="CA15">
        <v>-0.76156360000000001</v>
      </c>
      <c r="CB15">
        <v>2.2650950000000001</v>
      </c>
      <c r="CC15">
        <v>1.4109579999999999</v>
      </c>
      <c r="CD15">
        <v>1.2378400000000001</v>
      </c>
      <c r="CE15">
        <v>2.9450000000000001E-3</v>
      </c>
      <c r="CF15">
        <v>-1.684288</v>
      </c>
      <c r="CG15">
        <v>-1.4117649999999999</v>
      </c>
      <c r="CH15">
        <v>-1.5215860000000001</v>
      </c>
      <c r="CI15">
        <v>2.0836190000000001</v>
      </c>
      <c r="CJ15">
        <v>18.902270000000001</v>
      </c>
      <c r="CK15">
        <v>46.545140000000004</v>
      </c>
      <c r="CL15">
        <v>46.915819999999997</v>
      </c>
      <c r="CM15">
        <v>44.4724</v>
      </c>
      <c r="CN15">
        <v>43.061100000000003</v>
      </c>
      <c r="CO15">
        <v>43.477829999999997</v>
      </c>
      <c r="CP15">
        <v>41.395339999999997</v>
      </c>
      <c r="CQ15">
        <v>34.422440000000002</v>
      </c>
      <c r="CR15">
        <v>32.640500000000003</v>
      </c>
      <c r="CS15">
        <v>23.929099999999998</v>
      </c>
      <c r="CT15">
        <v>17.46951</v>
      </c>
      <c r="CU15">
        <v>10.861560000000001</v>
      </c>
      <c r="CV15">
        <v>10.61556</v>
      </c>
      <c r="CW15">
        <v>-1.7575019999999999</v>
      </c>
      <c r="CX15">
        <v>-1.2740359999999999</v>
      </c>
      <c r="CY15">
        <v>0.4125489</v>
      </c>
      <c r="CZ15">
        <v>3.5354329999999998</v>
      </c>
      <c r="DA15">
        <v>2.9467089999999998</v>
      </c>
      <c r="DB15">
        <v>2.0050460000000001</v>
      </c>
      <c r="DC15">
        <v>1.462591</v>
      </c>
      <c r="DD15">
        <v>5.9694299999999999E-2</v>
      </c>
      <c r="DE15">
        <v>0.59520759999999995</v>
      </c>
      <c r="DF15">
        <v>1.342268</v>
      </c>
      <c r="DG15">
        <v>4.5467839999999997</v>
      </c>
      <c r="DH15">
        <v>21.8767</v>
      </c>
      <c r="DI15">
        <v>49.056730000000002</v>
      </c>
      <c r="DJ15">
        <v>49.462429999999998</v>
      </c>
      <c r="DK15">
        <v>47.07902</v>
      </c>
      <c r="DL15">
        <v>45.83446</v>
      </c>
      <c r="DM15">
        <v>46.279850000000003</v>
      </c>
      <c r="DN15">
        <v>44.494579999999999</v>
      </c>
      <c r="DO15">
        <v>37.853369999999998</v>
      </c>
      <c r="DP15">
        <v>36.301819999999999</v>
      </c>
      <c r="DQ15">
        <v>27.795259999999999</v>
      </c>
      <c r="DR15">
        <v>21.996099999999998</v>
      </c>
      <c r="DS15">
        <v>15.22512</v>
      </c>
      <c r="DT15">
        <v>13.41757</v>
      </c>
      <c r="DU15">
        <v>0.7730996</v>
      </c>
      <c r="DV15">
        <v>1.071976</v>
      </c>
      <c r="DW15">
        <v>2.1077810000000001</v>
      </c>
      <c r="DX15">
        <v>5.369599</v>
      </c>
      <c r="DY15">
        <v>5.1640879999999996</v>
      </c>
      <c r="DZ15">
        <v>3.1127690000000001</v>
      </c>
      <c r="EA15">
        <v>3.5700889999999998</v>
      </c>
      <c r="EB15">
        <v>2.577728</v>
      </c>
      <c r="EC15">
        <v>3.4929579999999998</v>
      </c>
      <c r="ED15">
        <v>5.4772179999999997</v>
      </c>
      <c r="EE15">
        <v>8.1032039999999999</v>
      </c>
      <c r="EF15">
        <v>26.171309999999998</v>
      </c>
      <c r="EG15">
        <v>52.683079999999997</v>
      </c>
      <c r="EH15">
        <v>53.139319999999998</v>
      </c>
      <c r="EI15">
        <v>50.842570000000002</v>
      </c>
      <c r="EJ15">
        <v>49.838749999999997</v>
      </c>
      <c r="EK15">
        <v>50.325530000000001</v>
      </c>
      <c r="EL15">
        <v>48.969389999999997</v>
      </c>
      <c r="EM15">
        <v>42.807110000000002</v>
      </c>
      <c r="EN15">
        <v>41.588189999999997</v>
      </c>
      <c r="EO15">
        <v>33.377380000000002</v>
      </c>
      <c r="EP15">
        <v>28.531780000000001</v>
      </c>
      <c r="EQ15">
        <v>21.525410000000001</v>
      </c>
      <c r="ER15">
        <v>17.463239999999999</v>
      </c>
      <c r="ES15">
        <v>64.968580000000003</v>
      </c>
      <c r="ET15">
        <v>64.118759999999995</v>
      </c>
      <c r="EU15">
        <v>63.38617</v>
      </c>
      <c r="EV15">
        <v>63.037320000000001</v>
      </c>
      <c r="EW15">
        <v>63.729210000000002</v>
      </c>
      <c r="EX15">
        <v>62.586280000000002</v>
      </c>
      <c r="EY15">
        <v>63.500610000000002</v>
      </c>
      <c r="EZ15">
        <v>64.663039999999995</v>
      </c>
      <c r="FA15">
        <v>71.267570000000006</v>
      </c>
      <c r="FB15">
        <v>78.409480000000002</v>
      </c>
      <c r="FC15">
        <v>85.08699</v>
      </c>
      <c r="FD15">
        <v>89.491780000000006</v>
      </c>
      <c r="FE15">
        <v>91.298090000000002</v>
      </c>
      <c r="FF15">
        <v>92.271839999999997</v>
      </c>
      <c r="FG15">
        <v>92.033580000000001</v>
      </c>
      <c r="FH15">
        <v>92.350160000000002</v>
      </c>
      <c r="FI15">
        <v>91.78125</v>
      </c>
      <c r="FJ15">
        <v>90.103210000000004</v>
      </c>
      <c r="FK15">
        <v>85.741969999999995</v>
      </c>
      <c r="FL15">
        <v>82.286159999999995</v>
      </c>
      <c r="FM15">
        <v>80.023790000000005</v>
      </c>
      <c r="FN15">
        <v>77.827560000000005</v>
      </c>
      <c r="FO15">
        <v>75.910430000000005</v>
      </c>
      <c r="FP15">
        <v>74.351060000000004</v>
      </c>
      <c r="FQ15">
        <v>1</v>
      </c>
    </row>
    <row r="16" spans="1:173" x14ac:dyDescent="0.2">
      <c r="A16" t="s">
        <v>234</v>
      </c>
      <c r="B16" s="66">
        <v>41918</v>
      </c>
      <c r="C16">
        <v>381</v>
      </c>
      <c r="D16">
        <v>723</v>
      </c>
      <c r="E16">
        <v>327.68599999999998</v>
      </c>
      <c r="F16">
        <v>330.54950000000002</v>
      </c>
      <c r="G16">
        <v>331.55119999999999</v>
      </c>
      <c r="H16">
        <v>335.10910000000001</v>
      </c>
      <c r="I16">
        <v>351.85219999999998</v>
      </c>
      <c r="J16">
        <v>378.49790000000002</v>
      </c>
      <c r="K16">
        <v>408.47149999999999</v>
      </c>
      <c r="L16">
        <v>428.64280000000002</v>
      </c>
      <c r="M16">
        <v>451.6277</v>
      </c>
      <c r="N16">
        <v>468.88260000000002</v>
      </c>
      <c r="O16">
        <v>480.84570000000002</v>
      </c>
      <c r="P16">
        <v>485.00409999999999</v>
      </c>
      <c r="Q16">
        <v>489.50209999999998</v>
      </c>
      <c r="R16">
        <v>489.28370000000001</v>
      </c>
      <c r="S16">
        <v>489.05900000000003</v>
      </c>
      <c r="T16">
        <v>480.66329999999999</v>
      </c>
      <c r="U16">
        <v>469.46</v>
      </c>
      <c r="V16">
        <v>455.99329999999998</v>
      </c>
      <c r="W16">
        <v>425.35419999999999</v>
      </c>
      <c r="X16">
        <v>412.57240000000002</v>
      </c>
      <c r="Y16">
        <v>404.38600000000002</v>
      </c>
      <c r="Z16">
        <v>394.47089999999997</v>
      </c>
      <c r="AA16">
        <v>376.69589999999999</v>
      </c>
      <c r="AB16">
        <v>366.52010000000001</v>
      </c>
      <c r="AC16">
        <v>6.0959750000000001</v>
      </c>
      <c r="AD16">
        <v>4.9856699999999998</v>
      </c>
      <c r="AE16">
        <v>2.2567840000000001</v>
      </c>
      <c r="AF16">
        <v>2.0347900000000001</v>
      </c>
      <c r="AG16">
        <v>2.8657149999999998</v>
      </c>
      <c r="AH16">
        <v>10.61543</v>
      </c>
      <c r="AI16">
        <v>8.6511300000000002</v>
      </c>
      <c r="AJ16">
        <v>6.7293229999999999</v>
      </c>
      <c r="AK16">
        <v>7.0597539999999999</v>
      </c>
      <c r="AL16">
        <v>6.2553929999999998</v>
      </c>
      <c r="AM16">
        <v>4.1345710000000002</v>
      </c>
      <c r="AN16">
        <v>8.9395699999999998</v>
      </c>
      <c r="AO16">
        <v>26.673539999999999</v>
      </c>
      <c r="AP16">
        <v>27.4391</v>
      </c>
      <c r="AQ16">
        <v>24.763739999999999</v>
      </c>
      <c r="AR16">
        <v>26.801480000000002</v>
      </c>
      <c r="AS16">
        <v>27.642479999999999</v>
      </c>
      <c r="AT16">
        <v>24.750250000000001</v>
      </c>
      <c r="AU16">
        <v>19.85192</v>
      </c>
      <c r="AV16">
        <v>16.54515</v>
      </c>
      <c r="AW16">
        <v>6.5696680000000001</v>
      </c>
      <c r="AX16">
        <v>5.1559439999999999</v>
      </c>
      <c r="AY16">
        <v>2.076314</v>
      </c>
      <c r="AZ16">
        <v>3.8206000000000002</v>
      </c>
      <c r="BA16">
        <v>8.5421700000000005</v>
      </c>
      <c r="BB16">
        <v>7.2828299999999997</v>
      </c>
      <c r="BC16">
        <v>4.2773859999999999</v>
      </c>
      <c r="BD16">
        <v>4.3201989999999997</v>
      </c>
      <c r="BE16">
        <v>5.164091</v>
      </c>
      <c r="BF16">
        <v>12.54594</v>
      </c>
      <c r="BG16">
        <v>12.79913</v>
      </c>
      <c r="BH16">
        <v>11.53556</v>
      </c>
      <c r="BI16">
        <v>10.55172</v>
      </c>
      <c r="BJ16">
        <v>10.279669999999999</v>
      </c>
      <c r="BK16">
        <v>8.3589970000000005</v>
      </c>
      <c r="BL16">
        <v>13.253439999999999</v>
      </c>
      <c r="BM16">
        <v>31.028559999999999</v>
      </c>
      <c r="BN16">
        <v>31.78698</v>
      </c>
      <c r="BO16">
        <v>29.172830000000001</v>
      </c>
      <c r="BP16">
        <v>31.572600000000001</v>
      </c>
      <c r="BQ16">
        <v>31.763719999999999</v>
      </c>
      <c r="BR16">
        <v>29.05245</v>
      </c>
      <c r="BS16">
        <v>24.81728</v>
      </c>
      <c r="BT16">
        <v>21.519850000000002</v>
      </c>
      <c r="BU16">
        <v>11.788930000000001</v>
      </c>
      <c r="BV16">
        <v>10.82938</v>
      </c>
      <c r="BW16">
        <v>7.5314629999999996</v>
      </c>
      <c r="BX16">
        <v>8.1950979999999998</v>
      </c>
      <c r="BY16">
        <v>10.2364</v>
      </c>
      <c r="BZ16">
        <v>8.8738360000000007</v>
      </c>
      <c r="CA16">
        <v>5.6768479999999997</v>
      </c>
      <c r="CB16">
        <v>5.9030670000000001</v>
      </c>
      <c r="CC16">
        <v>6.7559389999999997</v>
      </c>
      <c r="CD16">
        <v>13.882999999999999</v>
      </c>
      <c r="CE16">
        <v>15.672029999999999</v>
      </c>
      <c r="CF16">
        <v>14.86435</v>
      </c>
      <c r="CG16">
        <v>12.97024</v>
      </c>
      <c r="CH16">
        <v>13.066879999999999</v>
      </c>
      <c r="CI16">
        <v>11.28482</v>
      </c>
      <c r="CJ16">
        <v>16.241209999999999</v>
      </c>
      <c r="CK16">
        <v>34.044829999999997</v>
      </c>
      <c r="CL16">
        <v>34.798310000000001</v>
      </c>
      <c r="CM16">
        <v>32.226550000000003</v>
      </c>
      <c r="CN16">
        <v>34.87706</v>
      </c>
      <c r="CO16">
        <v>34.618070000000003</v>
      </c>
      <c r="CP16">
        <v>32.032130000000002</v>
      </c>
      <c r="CQ16">
        <v>28.256270000000001</v>
      </c>
      <c r="CR16">
        <v>24.965309999999999</v>
      </c>
      <c r="CS16">
        <v>15.403779999999999</v>
      </c>
      <c r="CT16">
        <v>14.75878</v>
      </c>
      <c r="CU16">
        <v>11.30968</v>
      </c>
      <c r="CV16">
        <v>11.22486</v>
      </c>
      <c r="CW16">
        <v>11.930619999999999</v>
      </c>
      <c r="CX16">
        <v>10.464840000000001</v>
      </c>
      <c r="CY16">
        <v>7.0763100000000003</v>
      </c>
      <c r="CZ16">
        <v>7.4859349999999996</v>
      </c>
      <c r="DA16">
        <v>8.3477879999999995</v>
      </c>
      <c r="DB16">
        <v>15.22007</v>
      </c>
      <c r="DC16">
        <v>18.544920000000001</v>
      </c>
      <c r="DD16">
        <v>18.19314</v>
      </c>
      <c r="DE16">
        <v>15.388769999999999</v>
      </c>
      <c r="DF16">
        <v>15.85408</v>
      </c>
      <c r="DG16">
        <v>14.210649999999999</v>
      </c>
      <c r="DH16">
        <v>19.22899</v>
      </c>
      <c r="DI16">
        <v>37.061109999999999</v>
      </c>
      <c r="DJ16">
        <v>37.809640000000002</v>
      </c>
      <c r="DK16">
        <v>35.280270000000002</v>
      </c>
      <c r="DL16">
        <v>38.181510000000003</v>
      </c>
      <c r="DM16">
        <v>37.472430000000003</v>
      </c>
      <c r="DN16">
        <v>35.01182</v>
      </c>
      <c r="DO16">
        <v>31.695260000000001</v>
      </c>
      <c r="DP16">
        <v>28.410779999999999</v>
      </c>
      <c r="DQ16">
        <v>19.018630000000002</v>
      </c>
      <c r="DR16">
        <v>18.688189999999999</v>
      </c>
      <c r="DS16">
        <v>15.087899999999999</v>
      </c>
      <c r="DT16">
        <v>14.254630000000001</v>
      </c>
      <c r="DU16">
        <v>14.37682</v>
      </c>
      <c r="DV16">
        <v>12.762</v>
      </c>
      <c r="DW16">
        <v>9.0969110000000004</v>
      </c>
      <c r="DX16">
        <v>9.7713439999999991</v>
      </c>
      <c r="DY16">
        <v>10.64616</v>
      </c>
      <c r="DZ16">
        <v>17.150569999999998</v>
      </c>
      <c r="EA16">
        <v>22.69293</v>
      </c>
      <c r="EB16">
        <v>22.999379999999999</v>
      </c>
      <c r="EC16">
        <v>18.880739999999999</v>
      </c>
      <c r="ED16">
        <v>19.87837</v>
      </c>
      <c r="EE16">
        <v>18.43507</v>
      </c>
      <c r="EF16">
        <v>23.542860000000001</v>
      </c>
      <c r="EG16">
        <v>41.416130000000003</v>
      </c>
      <c r="EH16">
        <v>42.157519999999998</v>
      </c>
      <c r="EI16">
        <v>39.689349999999997</v>
      </c>
      <c r="EJ16">
        <v>42.952629999999999</v>
      </c>
      <c r="EK16">
        <v>41.59366</v>
      </c>
      <c r="EL16">
        <v>39.314010000000003</v>
      </c>
      <c r="EM16">
        <v>36.660609999999998</v>
      </c>
      <c r="EN16">
        <v>33.385480000000001</v>
      </c>
      <c r="EO16">
        <v>24.23789</v>
      </c>
      <c r="EP16">
        <v>24.361619999999998</v>
      </c>
      <c r="EQ16">
        <v>20.543050000000001</v>
      </c>
      <c r="ER16">
        <v>18.62912</v>
      </c>
      <c r="ES16">
        <v>66.824780000000004</v>
      </c>
      <c r="ET16">
        <v>65.594499999999996</v>
      </c>
      <c r="EU16">
        <v>64.756870000000006</v>
      </c>
      <c r="EV16">
        <v>64.367549999999994</v>
      </c>
      <c r="EW16">
        <v>63.516379999999998</v>
      </c>
      <c r="EX16">
        <v>62.938769999999998</v>
      </c>
      <c r="EY16">
        <v>61.633220000000001</v>
      </c>
      <c r="EZ16">
        <v>64.182990000000004</v>
      </c>
      <c r="FA16">
        <v>70.110820000000004</v>
      </c>
      <c r="FB16">
        <v>75.844949999999997</v>
      </c>
      <c r="FC16">
        <v>81.143630000000002</v>
      </c>
      <c r="FD16">
        <v>84.894549999999995</v>
      </c>
      <c r="FE16">
        <v>86.849249999999998</v>
      </c>
      <c r="FF16">
        <v>87.585520000000002</v>
      </c>
      <c r="FG16">
        <v>87.326530000000005</v>
      </c>
      <c r="FH16">
        <v>86.587289999999996</v>
      </c>
      <c r="FI16">
        <v>85.619100000000003</v>
      </c>
      <c r="FJ16">
        <v>83.602429999999998</v>
      </c>
      <c r="FK16">
        <v>79.644819999999996</v>
      </c>
      <c r="FL16">
        <v>75.855930000000001</v>
      </c>
      <c r="FM16">
        <v>73.816289999999995</v>
      </c>
      <c r="FN16">
        <v>72.350700000000003</v>
      </c>
      <c r="FO16">
        <v>71.054010000000005</v>
      </c>
      <c r="FP16">
        <v>69.283559999999994</v>
      </c>
      <c r="FQ16">
        <v>1</v>
      </c>
    </row>
    <row r="17" spans="1:173" x14ac:dyDescent="0.2">
      <c r="A17" t="s">
        <v>234</v>
      </c>
      <c r="B17" s="66" t="s">
        <v>2</v>
      </c>
      <c r="C17">
        <v>379.57139999999998</v>
      </c>
      <c r="D17">
        <v>750.85709999999995</v>
      </c>
      <c r="E17">
        <v>380.53609999999998</v>
      </c>
      <c r="F17">
        <v>379.03019999999998</v>
      </c>
      <c r="G17">
        <v>375.3134</v>
      </c>
      <c r="H17">
        <v>375.40910000000002</v>
      </c>
      <c r="I17">
        <v>392.61739999999998</v>
      </c>
      <c r="J17">
        <v>426.11419999999998</v>
      </c>
      <c r="K17">
        <v>474.07580000000002</v>
      </c>
      <c r="L17">
        <v>500.74979999999999</v>
      </c>
      <c r="M17">
        <v>524.12630000000001</v>
      </c>
      <c r="N17">
        <v>540.04679999999996</v>
      </c>
      <c r="O17">
        <v>541.22329999999999</v>
      </c>
      <c r="P17">
        <v>549.3904</v>
      </c>
      <c r="Q17">
        <v>544.09810000000004</v>
      </c>
      <c r="R17">
        <v>545.20410000000004</v>
      </c>
      <c r="S17">
        <v>538.32510000000002</v>
      </c>
      <c r="T17">
        <v>533.79729999999995</v>
      </c>
      <c r="U17">
        <v>527.47059999999999</v>
      </c>
      <c r="V17">
        <v>512.21939999999995</v>
      </c>
      <c r="W17">
        <v>479.30279999999999</v>
      </c>
      <c r="X17">
        <v>464.0324</v>
      </c>
      <c r="Y17">
        <v>459.5369</v>
      </c>
      <c r="Z17">
        <v>449.15170000000001</v>
      </c>
      <c r="AA17">
        <v>430.02429999999998</v>
      </c>
      <c r="AB17">
        <v>403.05309999999997</v>
      </c>
      <c r="AC17">
        <v>13.65973</v>
      </c>
      <c r="AD17">
        <v>13.694050000000001</v>
      </c>
      <c r="AE17">
        <v>9.1759710000000005</v>
      </c>
      <c r="AF17">
        <v>-14.669359999999999</v>
      </c>
      <c r="AG17">
        <v>-19.582630000000002</v>
      </c>
      <c r="AH17">
        <v>-14.9886</v>
      </c>
      <c r="AI17">
        <v>-7.0496480000000004</v>
      </c>
      <c r="AJ17">
        <v>5.9169200000000002</v>
      </c>
      <c r="AK17">
        <v>4.9909290000000004</v>
      </c>
      <c r="AL17">
        <v>4.4320019999999998</v>
      </c>
      <c r="AM17">
        <v>1.888185</v>
      </c>
      <c r="AN17">
        <v>33.570439999999998</v>
      </c>
      <c r="AO17">
        <v>60.295909999999999</v>
      </c>
      <c r="AP17">
        <v>63.065910000000002</v>
      </c>
      <c r="AQ17">
        <v>57.789029999999997</v>
      </c>
      <c r="AR17">
        <v>62.171579999999999</v>
      </c>
      <c r="AS17">
        <v>67.104389999999995</v>
      </c>
      <c r="AT17">
        <v>64.240089999999995</v>
      </c>
      <c r="AU17">
        <v>57.300350000000002</v>
      </c>
      <c r="AV17">
        <v>47.76717</v>
      </c>
      <c r="AW17">
        <v>16.937519999999999</v>
      </c>
      <c r="AX17">
        <v>1.772294</v>
      </c>
      <c r="AY17">
        <v>1.040529</v>
      </c>
      <c r="AZ17">
        <v>-8.6765380000000007</v>
      </c>
      <c r="BA17">
        <v>17.043199999999999</v>
      </c>
      <c r="BB17">
        <v>16.970580000000002</v>
      </c>
      <c r="BC17">
        <v>11.580489999999999</v>
      </c>
      <c r="BD17">
        <v>-11.5032</v>
      </c>
      <c r="BE17">
        <v>-16.704599999999999</v>
      </c>
      <c r="BF17">
        <v>-12.637510000000001</v>
      </c>
      <c r="BG17">
        <v>-3.557007</v>
      </c>
      <c r="BH17">
        <v>9.3545079999999992</v>
      </c>
      <c r="BI17">
        <v>8.3325250000000004</v>
      </c>
      <c r="BJ17">
        <v>9.0071739999999991</v>
      </c>
      <c r="BK17">
        <v>6.2688519999999999</v>
      </c>
      <c r="BL17">
        <v>38.028109999999998</v>
      </c>
      <c r="BM17">
        <v>64.695980000000006</v>
      </c>
      <c r="BN17">
        <v>67.283479999999997</v>
      </c>
      <c r="BO17">
        <v>61.98592</v>
      </c>
      <c r="BP17">
        <v>66.625659999999996</v>
      </c>
      <c r="BQ17">
        <v>70.95617</v>
      </c>
      <c r="BR17">
        <v>68.375249999999994</v>
      </c>
      <c r="BS17">
        <v>62.153309999999998</v>
      </c>
      <c r="BT17">
        <v>52.776310000000002</v>
      </c>
      <c r="BU17">
        <v>21.995560000000001</v>
      </c>
      <c r="BV17">
        <v>7.0769390000000003</v>
      </c>
      <c r="BW17">
        <v>6.5239760000000002</v>
      </c>
      <c r="BX17">
        <v>-4.3682169999999996</v>
      </c>
      <c r="BY17">
        <v>19.386579999999999</v>
      </c>
      <c r="BZ17">
        <v>19.239899999999999</v>
      </c>
      <c r="CA17">
        <v>13.24586</v>
      </c>
      <c r="CB17">
        <v>-9.3103259999999999</v>
      </c>
      <c r="CC17">
        <v>-14.71128</v>
      </c>
      <c r="CD17">
        <v>-11.00915</v>
      </c>
      <c r="CE17">
        <v>-1.1380140000000001</v>
      </c>
      <c r="CF17">
        <v>11.73537</v>
      </c>
      <c r="CG17">
        <v>10.6469</v>
      </c>
      <c r="CH17">
        <v>12.17592</v>
      </c>
      <c r="CI17">
        <v>9.3028879999999994</v>
      </c>
      <c r="CJ17">
        <v>41.115470000000002</v>
      </c>
      <c r="CK17">
        <v>67.743449999999996</v>
      </c>
      <c r="CL17">
        <v>70.204539999999994</v>
      </c>
      <c r="CM17">
        <v>64.892679999999999</v>
      </c>
      <c r="CN17">
        <v>69.710549999999998</v>
      </c>
      <c r="CO17">
        <v>73.623900000000006</v>
      </c>
      <c r="CP17">
        <v>71.239249999999998</v>
      </c>
      <c r="CQ17">
        <v>65.514449999999997</v>
      </c>
      <c r="CR17">
        <v>56.245620000000002</v>
      </c>
      <c r="CS17">
        <v>25.498740000000002</v>
      </c>
      <c r="CT17">
        <v>10.750920000000001</v>
      </c>
      <c r="CU17">
        <v>10.32179</v>
      </c>
      <c r="CV17">
        <v>-1.384288</v>
      </c>
      <c r="CW17">
        <v>21.729959999999998</v>
      </c>
      <c r="CX17">
        <v>21.509209999999999</v>
      </c>
      <c r="CY17">
        <v>14.91122</v>
      </c>
      <c r="CZ17">
        <v>-7.1174520000000001</v>
      </c>
      <c r="DA17">
        <v>-12.717969999999999</v>
      </c>
      <c r="DB17">
        <v>-9.3807860000000005</v>
      </c>
      <c r="DC17">
        <v>1.2809790000000001</v>
      </c>
      <c r="DD17">
        <v>14.11623</v>
      </c>
      <c r="DE17">
        <v>12.96128</v>
      </c>
      <c r="DF17">
        <v>15.344670000000001</v>
      </c>
      <c r="DG17">
        <v>12.336919999999999</v>
      </c>
      <c r="DH17">
        <v>44.202840000000002</v>
      </c>
      <c r="DI17">
        <v>70.790930000000003</v>
      </c>
      <c r="DJ17">
        <v>73.125609999999995</v>
      </c>
      <c r="DK17">
        <v>67.799430000000001</v>
      </c>
      <c r="DL17">
        <v>72.795429999999996</v>
      </c>
      <c r="DM17">
        <v>76.291629999999998</v>
      </c>
      <c r="DN17">
        <v>74.103250000000003</v>
      </c>
      <c r="DO17">
        <v>68.875600000000006</v>
      </c>
      <c r="DP17">
        <v>59.714939999999999</v>
      </c>
      <c r="DQ17">
        <v>29.001919999999998</v>
      </c>
      <c r="DR17">
        <v>14.424899999999999</v>
      </c>
      <c r="DS17">
        <v>14.11961</v>
      </c>
      <c r="DT17">
        <v>1.599642</v>
      </c>
      <c r="DU17">
        <v>25.113440000000001</v>
      </c>
      <c r="DV17">
        <v>24.785740000000001</v>
      </c>
      <c r="DW17">
        <v>17.315740000000002</v>
      </c>
      <c r="DX17">
        <v>-3.9512900000000002</v>
      </c>
      <c r="DY17">
        <v>-9.8399370000000008</v>
      </c>
      <c r="DZ17">
        <v>-7.0296919999999998</v>
      </c>
      <c r="EA17">
        <v>4.7736200000000002</v>
      </c>
      <c r="EB17">
        <v>17.553820000000002</v>
      </c>
      <c r="EC17">
        <v>16.302879999999998</v>
      </c>
      <c r="ED17">
        <v>19.91985</v>
      </c>
      <c r="EE17">
        <v>16.717590000000001</v>
      </c>
      <c r="EF17">
        <v>48.660510000000002</v>
      </c>
      <c r="EG17">
        <v>75.190989999999999</v>
      </c>
      <c r="EH17">
        <v>77.343170000000001</v>
      </c>
      <c r="EI17">
        <v>71.99633</v>
      </c>
      <c r="EJ17">
        <v>77.249520000000004</v>
      </c>
      <c r="EK17">
        <v>80.143410000000003</v>
      </c>
      <c r="EL17">
        <v>78.238410000000002</v>
      </c>
      <c r="EM17">
        <v>73.728549999999998</v>
      </c>
      <c r="EN17">
        <v>64.724080000000001</v>
      </c>
      <c r="EO17">
        <v>34.059950000000001</v>
      </c>
      <c r="EP17">
        <v>19.72955</v>
      </c>
      <c r="EQ17">
        <v>19.603059999999999</v>
      </c>
      <c r="ER17">
        <v>5.9079629999999996</v>
      </c>
      <c r="ES17">
        <v>71.322760000000002</v>
      </c>
      <c r="ET17">
        <v>70.524479999999997</v>
      </c>
      <c r="EU17">
        <v>69.955830000000006</v>
      </c>
      <c r="EV17">
        <v>69.823779999999999</v>
      </c>
      <c r="EW17">
        <v>69.540239999999997</v>
      </c>
      <c r="EX17">
        <v>69.250159999999994</v>
      </c>
      <c r="EY17">
        <v>70.447919999999996</v>
      </c>
      <c r="EZ17">
        <v>73.189800000000005</v>
      </c>
      <c r="FA17">
        <v>76.842269999999999</v>
      </c>
      <c r="FB17">
        <v>80.273880000000005</v>
      </c>
      <c r="FC17">
        <v>83.149950000000004</v>
      </c>
      <c r="FD17">
        <v>85.333290000000005</v>
      </c>
      <c r="FE17">
        <v>86.950230000000005</v>
      </c>
      <c r="FF17">
        <v>87.775959999999998</v>
      </c>
      <c r="FG17">
        <v>88.225189999999998</v>
      </c>
      <c r="FH17">
        <v>87.738609999999994</v>
      </c>
      <c r="FI17">
        <v>86.064999999999998</v>
      </c>
      <c r="FJ17">
        <v>83.261279999999999</v>
      </c>
      <c r="FK17">
        <v>80.0304</v>
      </c>
      <c r="FL17">
        <v>77.802970000000002</v>
      </c>
      <c r="FM17">
        <v>76.293689999999998</v>
      </c>
      <c r="FN17">
        <v>75.311920000000001</v>
      </c>
      <c r="FO17">
        <v>74.125060000000005</v>
      </c>
      <c r="FP17">
        <v>73.101830000000007</v>
      </c>
      <c r="FQ17">
        <v>1</v>
      </c>
    </row>
    <row r="18" spans="1:173" x14ac:dyDescent="0.2">
      <c r="A18" t="s">
        <v>235</v>
      </c>
      <c r="B18" s="66">
        <v>41834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 s="57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</row>
    <row r="19" spans="1:173" x14ac:dyDescent="0.2">
      <c r="A19" t="s">
        <v>235</v>
      </c>
      <c r="B19" s="66">
        <v>41890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</row>
    <row r="20" spans="1:173" x14ac:dyDescent="0.2">
      <c r="A20" t="s">
        <v>235</v>
      </c>
      <c r="B20" s="66">
        <v>41892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</row>
    <row r="21" spans="1:173" x14ac:dyDescent="0.2">
      <c r="A21" t="s">
        <v>235</v>
      </c>
      <c r="B21" s="66">
        <v>41897</v>
      </c>
      <c r="C21">
        <v>42</v>
      </c>
      <c r="D21">
        <v>61</v>
      </c>
      <c r="E21">
        <v>161.273</v>
      </c>
      <c r="F21">
        <v>159.45580000000001</v>
      </c>
      <c r="G21">
        <v>157.7276</v>
      </c>
      <c r="H21">
        <v>156.89410000000001</v>
      </c>
      <c r="I21">
        <v>157.06049999999999</v>
      </c>
      <c r="J21">
        <v>159.71770000000001</v>
      </c>
      <c r="K21">
        <v>162.00710000000001</v>
      </c>
      <c r="L21">
        <v>164.07990000000001</v>
      </c>
      <c r="M21">
        <v>162.85679999999999</v>
      </c>
      <c r="N21">
        <v>165.0558</v>
      </c>
      <c r="O21">
        <v>168.5693</v>
      </c>
      <c r="P21">
        <v>171.9931</v>
      </c>
      <c r="Q21">
        <v>174.16720000000001</v>
      </c>
      <c r="R21">
        <v>175.09979999999999</v>
      </c>
      <c r="S21">
        <v>176.1893</v>
      </c>
      <c r="T21">
        <v>176.1901</v>
      </c>
      <c r="U21">
        <v>172.1054</v>
      </c>
      <c r="V21">
        <v>174.19669999999999</v>
      </c>
      <c r="W21">
        <v>178.88849999999999</v>
      </c>
      <c r="X21">
        <v>180.02850000000001</v>
      </c>
      <c r="Y21">
        <v>179.90880000000001</v>
      </c>
      <c r="Z21">
        <v>177.93639999999999</v>
      </c>
      <c r="AA21">
        <v>174.2764</v>
      </c>
      <c r="AB21">
        <v>167.96940000000001</v>
      </c>
      <c r="AC21">
        <v>-0.95863880000000001</v>
      </c>
      <c r="AD21">
        <v>-1.9022460000000001</v>
      </c>
      <c r="AE21">
        <v>-1.717713</v>
      </c>
      <c r="AF21">
        <v>-2.1005180000000001</v>
      </c>
      <c r="AG21">
        <v>-5.1199409999999999</v>
      </c>
      <c r="AH21">
        <v>-5.3830879999999999</v>
      </c>
      <c r="AI21">
        <v>-4.4074650000000002</v>
      </c>
      <c r="AJ21">
        <v>-0.4516906</v>
      </c>
      <c r="AK21">
        <v>2.4354330000000002</v>
      </c>
      <c r="AL21">
        <v>4.8603430000000003</v>
      </c>
      <c r="AM21">
        <v>45.314770000000003</v>
      </c>
      <c r="AN21">
        <v>51.281350000000003</v>
      </c>
      <c r="AO21">
        <v>51.156309999999998</v>
      </c>
      <c r="AP21">
        <v>53.25835</v>
      </c>
      <c r="AQ21">
        <v>45.91272</v>
      </c>
      <c r="AR21">
        <v>43.339289999999998</v>
      </c>
      <c r="AS21">
        <v>44.567599999999999</v>
      </c>
      <c r="AT21">
        <v>38.800229999999999</v>
      </c>
      <c r="AU21">
        <v>40.219160000000002</v>
      </c>
      <c r="AV21">
        <v>40.717649999999999</v>
      </c>
      <c r="AW21">
        <v>36.54354</v>
      </c>
      <c r="AX21">
        <v>35.118389999999998</v>
      </c>
      <c r="AY21">
        <v>29.599170000000001</v>
      </c>
      <c r="AZ21">
        <v>29.098490000000002</v>
      </c>
      <c r="BA21">
        <v>0.2488881</v>
      </c>
      <c r="BB21">
        <v>-0.89101889999999995</v>
      </c>
      <c r="BC21">
        <v>-0.93832979999999999</v>
      </c>
      <c r="BD21">
        <v>-1.3405739999999999</v>
      </c>
      <c r="BE21">
        <v>-4.2380339999999999</v>
      </c>
      <c r="BF21">
        <v>-4.626188</v>
      </c>
      <c r="BG21">
        <v>-3.5137900000000002</v>
      </c>
      <c r="BH21">
        <v>0.49852190000000002</v>
      </c>
      <c r="BI21">
        <v>3.4908709999999998</v>
      </c>
      <c r="BJ21">
        <v>6.0841770000000004</v>
      </c>
      <c r="BK21">
        <v>46.704810000000002</v>
      </c>
      <c r="BL21">
        <v>52.75938</v>
      </c>
      <c r="BM21">
        <v>52.75217</v>
      </c>
      <c r="BN21">
        <v>54.85474</v>
      </c>
      <c r="BO21">
        <v>47.434379999999997</v>
      </c>
      <c r="BP21">
        <v>44.865560000000002</v>
      </c>
      <c r="BQ21">
        <v>46.231670000000001</v>
      </c>
      <c r="BR21">
        <v>40.565379999999998</v>
      </c>
      <c r="BS21">
        <v>41.95675</v>
      </c>
      <c r="BT21">
        <v>42.547939999999997</v>
      </c>
      <c r="BU21">
        <v>38.458489999999998</v>
      </c>
      <c r="BV21">
        <v>36.912909999999997</v>
      </c>
      <c r="BW21">
        <v>31.28819</v>
      </c>
      <c r="BX21">
        <v>30.894580000000001</v>
      </c>
      <c r="BY21">
        <v>1.085218</v>
      </c>
      <c r="BZ21">
        <v>-0.19064600000000001</v>
      </c>
      <c r="CA21">
        <v>-0.39853110000000003</v>
      </c>
      <c r="CB21">
        <v>-0.81423900000000005</v>
      </c>
      <c r="CC21">
        <v>-3.6272280000000001</v>
      </c>
      <c r="CD21">
        <v>-4.1019629999999996</v>
      </c>
      <c r="CE21">
        <v>-2.8948330000000002</v>
      </c>
      <c r="CF21">
        <v>1.156636</v>
      </c>
      <c r="CG21">
        <v>4.2218629999999999</v>
      </c>
      <c r="CH21">
        <v>6.9318010000000001</v>
      </c>
      <c r="CI21">
        <v>47.667549999999999</v>
      </c>
      <c r="CJ21">
        <v>53.783070000000002</v>
      </c>
      <c r="CK21">
        <v>53.857460000000003</v>
      </c>
      <c r="CL21">
        <v>55.960389999999997</v>
      </c>
      <c r="CM21">
        <v>48.488289999999999</v>
      </c>
      <c r="CN21">
        <v>45.922649999999997</v>
      </c>
      <c r="CO21">
        <v>47.3842</v>
      </c>
      <c r="CP21">
        <v>41.787930000000003</v>
      </c>
      <c r="CQ21">
        <v>43.160200000000003</v>
      </c>
      <c r="CR21">
        <v>43.815600000000003</v>
      </c>
      <c r="CS21">
        <v>39.784779999999998</v>
      </c>
      <c r="CT21">
        <v>38.155799999999999</v>
      </c>
      <c r="CU21">
        <v>32.457999999999998</v>
      </c>
      <c r="CV21">
        <v>32.138539999999999</v>
      </c>
      <c r="CW21">
        <v>1.9215469999999999</v>
      </c>
      <c r="CX21">
        <v>0.50972689999999998</v>
      </c>
      <c r="CY21">
        <v>0.14126759999999999</v>
      </c>
      <c r="CZ21">
        <v>-0.28790399999999999</v>
      </c>
      <c r="DA21">
        <v>-3.0164230000000001</v>
      </c>
      <c r="DB21">
        <v>-3.5777369999999999</v>
      </c>
      <c r="DC21">
        <v>-2.2758759999999998</v>
      </c>
      <c r="DD21">
        <v>1.814751</v>
      </c>
      <c r="DE21">
        <v>4.9528559999999997</v>
      </c>
      <c r="DF21">
        <v>7.7794249999999998</v>
      </c>
      <c r="DG21">
        <v>48.630290000000002</v>
      </c>
      <c r="DH21">
        <v>54.806759999999997</v>
      </c>
      <c r="DI21">
        <v>54.962760000000003</v>
      </c>
      <c r="DJ21">
        <v>57.066049999999997</v>
      </c>
      <c r="DK21">
        <v>49.542189999999998</v>
      </c>
      <c r="DL21">
        <v>46.979730000000004</v>
      </c>
      <c r="DM21">
        <v>48.536729999999999</v>
      </c>
      <c r="DN21">
        <v>43.010469999999998</v>
      </c>
      <c r="DO21">
        <v>44.36365</v>
      </c>
      <c r="DP21">
        <v>45.083260000000003</v>
      </c>
      <c r="DQ21">
        <v>41.111060000000002</v>
      </c>
      <c r="DR21">
        <v>39.398690000000002</v>
      </c>
      <c r="DS21">
        <v>33.627809999999997</v>
      </c>
      <c r="DT21">
        <v>33.3825</v>
      </c>
      <c r="DU21">
        <v>3.1290740000000001</v>
      </c>
      <c r="DV21">
        <v>1.5209539999999999</v>
      </c>
      <c r="DW21">
        <v>0.92065109999999994</v>
      </c>
      <c r="DX21">
        <v>0.47204020000000002</v>
      </c>
      <c r="DY21">
        <v>-2.1345160000000001</v>
      </c>
      <c r="DZ21">
        <v>-2.8208380000000002</v>
      </c>
      <c r="EA21">
        <v>-1.3822000000000001</v>
      </c>
      <c r="EB21">
        <v>2.7649629999999998</v>
      </c>
      <c r="EC21">
        <v>6.0082930000000001</v>
      </c>
      <c r="ED21">
        <v>9.0032599999999992</v>
      </c>
      <c r="EE21">
        <v>50.020339999999997</v>
      </c>
      <c r="EF21">
        <v>56.284790000000001</v>
      </c>
      <c r="EG21">
        <v>56.558619999999998</v>
      </c>
      <c r="EH21">
        <v>58.662430000000001</v>
      </c>
      <c r="EI21">
        <v>51.063850000000002</v>
      </c>
      <c r="EJ21">
        <v>48.506</v>
      </c>
      <c r="EK21">
        <v>50.200800000000001</v>
      </c>
      <c r="EL21">
        <v>44.775620000000004</v>
      </c>
      <c r="EM21">
        <v>46.101239999999997</v>
      </c>
      <c r="EN21">
        <v>46.913559999999997</v>
      </c>
      <c r="EO21">
        <v>43.026009999999999</v>
      </c>
      <c r="EP21">
        <v>41.193210000000001</v>
      </c>
      <c r="EQ21">
        <v>35.316830000000003</v>
      </c>
      <c r="ER21">
        <v>35.17859</v>
      </c>
      <c r="ES21">
        <v>80.99091</v>
      </c>
      <c r="ET21">
        <v>79.326610000000002</v>
      </c>
      <c r="EU21">
        <v>76.533609999999996</v>
      </c>
      <c r="EV21">
        <v>76.479100000000003</v>
      </c>
      <c r="EW21">
        <v>75.317089999999993</v>
      </c>
      <c r="EX21">
        <v>73.608789999999999</v>
      </c>
      <c r="EY21">
        <v>75.949129999999997</v>
      </c>
      <c r="EZ21">
        <v>80.406779999999998</v>
      </c>
      <c r="FA21">
        <v>84.683840000000004</v>
      </c>
      <c r="FB21">
        <v>89.271810000000002</v>
      </c>
      <c r="FC21">
        <v>93.638980000000004</v>
      </c>
      <c r="FD21">
        <v>96.212860000000006</v>
      </c>
      <c r="FE21">
        <v>97.849019999999996</v>
      </c>
      <c r="FF21">
        <v>98.621799999999993</v>
      </c>
      <c r="FG21">
        <v>99.21387</v>
      </c>
      <c r="FH21">
        <v>99.430530000000005</v>
      </c>
      <c r="FI21">
        <v>98.923990000000003</v>
      </c>
      <c r="FJ21">
        <v>97.369690000000006</v>
      </c>
      <c r="FK21">
        <v>94.297899999999998</v>
      </c>
      <c r="FL21">
        <v>91.104439999999997</v>
      </c>
      <c r="FM21">
        <v>89.361230000000006</v>
      </c>
      <c r="FN21">
        <v>87.183520000000001</v>
      </c>
      <c r="FO21">
        <v>85.068370000000002</v>
      </c>
      <c r="FP21">
        <v>84.171390000000002</v>
      </c>
      <c r="FQ21">
        <v>1</v>
      </c>
    </row>
    <row r="22" spans="1:173" x14ac:dyDescent="0.2">
      <c r="A22" t="s">
        <v>235</v>
      </c>
      <c r="B22" s="66">
        <v>41899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</row>
    <row r="23" spans="1:173" x14ac:dyDescent="0.2">
      <c r="A23" t="s">
        <v>235</v>
      </c>
      <c r="B23" s="66">
        <v>41914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</row>
    <row r="24" spans="1:173" x14ac:dyDescent="0.2">
      <c r="A24" t="s">
        <v>235</v>
      </c>
      <c r="B24" s="66">
        <v>41918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</row>
    <row r="25" spans="1:173" x14ac:dyDescent="0.2">
      <c r="A25" t="s">
        <v>235</v>
      </c>
      <c r="B25" s="66" t="s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</row>
    <row r="26" spans="1:173" x14ac:dyDescent="0.2">
      <c r="A26" t="s">
        <v>236</v>
      </c>
      <c r="B26" s="66">
        <v>41834</v>
      </c>
      <c r="C26">
        <v>101</v>
      </c>
      <c r="D26">
        <v>170</v>
      </c>
      <c r="E26">
        <v>120.9701</v>
      </c>
      <c r="F26">
        <v>123.4461</v>
      </c>
      <c r="G26">
        <v>125.85429999999999</v>
      </c>
      <c r="H26">
        <v>126.25060000000001</v>
      </c>
      <c r="I26">
        <v>128.5136</v>
      </c>
      <c r="J26">
        <v>134.13749999999999</v>
      </c>
      <c r="K26">
        <v>139.77029999999999</v>
      </c>
      <c r="L26">
        <v>144.48330000000001</v>
      </c>
      <c r="M26">
        <v>149.78720000000001</v>
      </c>
      <c r="N26">
        <v>151.7183</v>
      </c>
      <c r="O26">
        <v>153.2766</v>
      </c>
      <c r="P26">
        <v>153.92509999999999</v>
      </c>
      <c r="Q26">
        <v>154.67310000000001</v>
      </c>
      <c r="R26">
        <v>156.6362</v>
      </c>
      <c r="S26">
        <v>156.1481</v>
      </c>
      <c r="T26">
        <v>153.05539999999999</v>
      </c>
      <c r="U26">
        <v>151.0249</v>
      </c>
      <c r="V26">
        <v>146.8432</v>
      </c>
      <c r="W26">
        <v>145.78319999999999</v>
      </c>
      <c r="X26">
        <v>143.48949999999999</v>
      </c>
      <c r="Y26">
        <v>143.3801</v>
      </c>
      <c r="Z26">
        <v>139.29589999999999</v>
      </c>
      <c r="AA26">
        <v>136.3835</v>
      </c>
      <c r="AB26">
        <v>136.0428</v>
      </c>
      <c r="AC26">
        <v>1.426318</v>
      </c>
      <c r="AD26">
        <v>-1.459497</v>
      </c>
      <c r="AE26">
        <v>-3.1892719999999999</v>
      </c>
      <c r="AF26">
        <v>-3.5090560000000002</v>
      </c>
      <c r="AG26">
        <v>-1.5294620000000001</v>
      </c>
      <c r="AH26">
        <v>2.2862659999999999</v>
      </c>
      <c r="AI26">
        <v>2.7288770000000002</v>
      </c>
      <c r="AJ26">
        <v>-0.73331109999999999</v>
      </c>
      <c r="AK26">
        <v>-3.1012430000000002</v>
      </c>
      <c r="AL26">
        <v>-4.7861279999999997</v>
      </c>
      <c r="AM26">
        <v>-3.8352240000000002</v>
      </c>
      <c r="AN26">
        <v>0.56518970000000002</v>
      </c>
      <c r="AO26">
        <v>7.4515950000000002</v>
      </c>
      <c r="AP26">
        <v>7.4670810000000003</v>
      </c>
      <c r="AQ26">
        <v>4.4700290000000003</v>
      </c>
      <c r="AR26">
        <v>3.6424310000000002</v>
      </c>
      <c r="AS26">
        <v>-2.891839</v>
      </c>
      <c r="AT26">
        <v>-5.8143640000000003</v>
      </c>
      <c r="AU26">
        <v>-2.2196760000000002</v>
      </c>
      <c r="AV26">
        <v>-1.9452480000000001</v>
      </c>
      <c r="AW26">
        <v>-1.3877189999999999</v>
      </c>
      <c r="AX26">
        <v>-2.317231</v>
      </c>
      <c r="AY26">
        <v>-4.4306190000000001</v>
      </c>
      <c r="AZ26">
        <v>-3.7033209999999999</v>
      </c>
      <c r="BA26">
        <v>2.2734930000000002</v>
      </c>
      <c r="BB26">
        <v>-0.59338250000000003</v>
      </c>
      <c r="BC26">
        <v>-2.5070760000000001</v>
      </c>
      <c r="BD26">
        <v>-2.7550849999999998</v>
      </c>
      <c r="BE26">
        <v>-0.94032090000000002</v>
      </c>
      <c r="BF26">
        <v>2.8302</v>
      </c>
      <c r="BG26">
        <v>3.1928429999999999</v>
      </c>
      <c r="BH26">
        <v>-7.8957100000000002E-2</v>
      </c>
      <c r="BI26">
        <v>-2.2619060000000002</v>
      </c>
      <c r="BJ26">
        <v>-3.8911709999999999</v>
      </c>
      <c r="BK26">
        <v>-2.849151</v>
      </c>
      <c r="BL26">
        <v>1.6243430000000001</v>
      </c>
      <c r="BM26">
        <v>8.5957570000000008</v>
      </c>
      <c r="BN26">
        <v>8.5101770000000005</v>
      </c>
      <c r="BO26">
        <v>5.5548520000000003</v>
      </c>
      <c r="BP26">
        <v>4.6975910000000001</v>
      </c>
      <c r="BQ26">
        <v>-1.767973</v>
      </c>
      <c r="BR26">
        <v>-4.5835759999999999</v>
      </c>
      <c r="BS26">
        <v>-0.99458230000000003</v>
      </c>
      <c r="BT26">
        <v>-0.82504730000000004</v>
      </c>
      <c r="BU26">
        <v>1.0825599999999999E-2</v>
      </c>
      <c r="BV26">
        <v>-1.1710179999999999</v>
      </c>
      <c r="BW26">
        <v>-3.2217380000000002</v>
      </c>
      <c r="BX26">
        <v>-2.4186649999999998</v>
      </c>
      <c r="BY26">
        <v>2.8602439999999998</v>
      </c>
      <c r="BZ26">
        <v>6.4857999999999999E-3</v>
      </c>
      <c r="CA26">
        <v>-2.0345900000000001</v>
      </c>
      <c r="CB26">
        <v>-2.2328860000000001</v>
      </c>
      <c r="CC26">
        <v>-0.53228350000000002</v>
      </c>
      <c r="CD26">
        <v>3.2069269999999999</v>
      </c>
      <c r="CE26">
        <v>3.5141840000000002</v>
      </c>
      <c r="CF26">
        <v>0.37424649999999998</v>
      </c>
      <c r="CG26">
        <v>-1.6805840000000001</v>
      </c>
      <c r="CH26">
        <v>-3.271328</v>
      </c>
      <c r="CI26">
        <v>-2.1661990000000002</v>
      </c>
      <c r="CJ26">
        <v>2.35791</v>
      </c>
      <c r="CK26">
        <v>9.3881999999999994</v>
      </c>
      <c r="CL26">
        <v>9.232621</v>
      </c>
      <c r="CM26">
        <v>6.3061970000000001</v>
      </c>
      <c r="CN26">
        <v>5.4283929999999998</v>
      </c>
      <c r="CO26">
        <v>-0.98958710000000005</v>
      </c>
      <c r="CP26">
        <v>-3.7311359999999998</v>
      </c>
      <c r="CQ26">
        <v>-0.14608579999999999</v>
      </c>
      <c r="CR26">
        <v>-4.9200099999999997E-2</v>
      </c>
      <c r="CS26">
        <v>0.97945309999999997</v>
      </c>
      <c r="CT26">
        <v>-0.37715460000000001</v>
      </c>
      <c r="CU26">
        <v>-2.384471</v>
      </c>
      <c r="CV26">
        <v>-1.5289170000000001</v>
      </c>
      <c r="CW26">
        <v>3.4469949999999998</v>
      </c>
      <c r="CX26">
        <v>0.60635419999999995</v>
      </c>
      <c r="CY26">
        <v>-1.562103</v>
      </c>
      <c r="CZ26">
        <v>-1.710688</v>
      </c>
      <c r="DA26">
        <v>-0.1242461</v>
      </c>
      <c r="DB26">
        <v>3.5836540000000001</v>
      </c>
      <c r="DC26">
        <v>3.8355260000000002</v>
      </c>
      <c r="DD26">
        <v>0.82745000000000002</v>
      </c>
      <c r="DE26">
        <v>-1.099262</v>
      </c>
      <c r="DF26">
        <v>-2.651484</v>
      </c>
      <c r="DG26">
        <v>-1.4832479999999999</v>
      </c>
      <c r="DH26">
        <v>3.0914760000000001</v>
      </c>
      <c r="DI26">
        <v>10.18064</v>
      </c>
      <c r="DJ26">
        <v>9.9550660000000004</v>
      </c>
      <c r="DK26">
        <v>7.0575419999999998</v>
      </c>
      <c r="DL26">
        <v>6.1591940000000003</v>
      </c>
      <c r="DM26">
        <v>-0.21120130000000001</v>
      </c>
      <c r="DN26">
        <v>-2.8786960000000001</v>
      </c>
      <c r="DO26">
        <v>0.7024106</v>
      </c>
      <c r="DP26">
        <v>0.72664720000000005</v>
      </c>
      <c r="DQ26">
        <v>1.948081</v>
      </c>
      <c r="DR26">
        <v>0.4167092</v>
      </c>
      <c r="DS26">
        <v>-1.547204</v>
      </c>
      <c r="DT26">
        <v>-0.63916850000000003</v>
      </c>
      <c r="DU26">
        <v>4.2941700000000003</v>
      </c>
      <c r="DV26">
        <v>1.472469</v>
      </c>
      <c r="DW26">
        <v>-0.87990699999999999</v>
      </c>
      <c r="DX26">
        <v>-0.95671649999999997</v>
      </c>
      <c r="DY26">
        <v>0.46489520000000001</v>
      </c>
      <c r="DZ26">
        <v>4.1275890000000004</v>
      </c>
      <c r="EA26">
        <v>4.2994909999999997</v>
      </c>
      <c r="EB26">
        <v>1.4818039999999999</v>
      </c>
      <c r="EC26">
        <v>-0.2599244</v>
      </c>
      <c r="ED26">
        <v>-1.7565280000000001</v>
      </c>
      <c r="EE26">
        <v>-0.49717410000000001</v>
      </c>
      <c r="EF26">
        <v>4.1506299999999996</v>
      </c>
      <c r="EG26">
        <v>11.3248</v>
      </c>
      <c r="EH26">
        <v>10.99816</v>
      </c>
      <c r="EI26">
        <v>8.1423649999999999</v>
      </c>
      <c r="EJ26">
        <v>7.2143550000000003</v>
      </c>
      <c r="EK26">
        <v>0.91266440000000004</v>
      </c>
      <c r="EL26">
        <v>-1.6479079999999999</v>
      </c>
      <c r="EM26">
        <v>1.927505</v>
      </c>
      <c r="EN26">
        <v>1.8468469999999999</v>
      </c>
      <c r="EO26">
        <v>3.346625</v>
      </c>
      <c r="EP26">
        <v>1.5629219999999999</v>
      </c>
      <c r="EQ26">
        <v>-0.33832299999999998</v>
      </c>
      <c r="ER26">
        <v>0.64548680000000003</v>
      </c>
      <c r="ES26">
        <v>76.844040000000007</v>
      </c>
      <c r="ET26">
        <v>76.267920000000004</v>
      </c>
      <c r="EU26">
        <v>76.217119999999994</v>
      </c>
      <c r="EV26">
        <v>75.916629999999998</v>
      </c>
      <c r="EW26">
        <v>74.993300000000005</v>
      </c>
      <c r="EX26">
        <v>74.879159999999999</v>
      </c>
      <c r="EY26">
        <v>76.094570000000004</v>
      </c>
      <c r="EZ26">
        <v>77.265360000000001</v>
      </c>
      <c r="FA26">
        <v>79.325519999999997</v>
      </c>
      <c r="FB26">
        <v>81.630340000000004</v>
      </c>
      <c r="FC26">
        <v>84.039569999999998</v>
      </c>
      <c r="FD26">
        <v>86.243899999999996</v>
      </c>
      <c r="FE26">
        <v>87.15898</v>
      </c>
      <c r="FF26">
        <v>86.572339999999997</v>
      </c>
      <c r="FG26">
        <v>87.017970000000005</v>
      </c>
      <c r="FH26">
        <v>86.729470000000006</v>
      </c>
      <c r="FI26">
        <v>86.423810000000003</v>
      </c>
      <c r="FJ26">
        <v>84.409379999999999</v>
      </c>
      <c r="FK26">
        <v>82.292479999999998</v>
      </c>
      <c r="FL26">
        <v>80.323390000000003</v>
      </c>
      <c r="FM26">
        <v>78.652109999999993</v>
      </c>
      <c r="FN26">
        <v>77.743859999999998</v>
      </c>
      <c r="FO26">
        <v>77.93526</v>
      </c>
      <c r="FP26">
        <v>77.436430000000001</v>
      </c>
      <c r="FQ26">
        <v>1</v>
      </c>
    </row>
    <row r="27" spans="1:173" x14ac:dyDescent="0.2">
      <c r="A27" t="s">
        <v>236</v>
      </c>
      <c r="B27" s="66">
        <v>41890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</row>
    <row r="28" spans="1:173" x14ac:dyDescent="0.2">
      <c r="A28" t="s">
        <v>236</v>
      </c>
      <c r="B28" s="66">
        <v>41892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</row>
    <row r="29" spans="1:173" x14ac:dyDescent="0.2">
      <c r="A29" t="s">
        <v>236</v>
      </c>
      <c r="B29" s="66">
        <v>41897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</row>
    <row r="30" spans="1:173" x14ac:dyDescent="0.2">
      <c r="A30" t="s">
        <v>236</v>
      </c>
      <c r="B30" s="66">
        <v>41899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</row>
    <row r="31" spans="1:173" x14ac:dyDescent="0.2">
      <c r="A31" t="s">
        <v>236</v>
      </c>
      <c r="B31" s="66">
        <v>41914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</row>
    <row r="32" spans="1:173" x14ac:dyDescent="0.2">
      <c r="A32" t="s">
        <v>236</v>
      </c>
      <c r="B32" s="66">
        <v>41918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</row>
    <row r="33" spans="1:173" x14ac:dyDescent="0.2">
      <c r="A33" t="s">
        <v>236</v>
      </c>
      <c r="B33" s="66" t="s"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</row>
    <row r="1215" spans="58:58" x14ac:dyDescent="0.2">
      <c r="BF1215" s="57"/>
    </row>
    <row r="1802" spans="138:138" x14ac:dyDescent="0.2">
      <c r="EH1802" s="57"/>
    </row>
    <row r="3672" spans="58:58" x14ac:dyDescent="0.2">
      <c r="BF3672" s="57"/>
    </row>
    <row r="4307" spans="89:89" x14ac:dyDescent="0.2">
      <c r="CK4307" s="57"/>
    </row>
    <row r="4314" spans="89:89" x14ac:dyDescent="0.2">
      <c r="CK4314" s="57"/>
    </row>
    <row r="6828" spans="46:121" x14ac:dyDescent="0.2">
      <c r="DQ6828" s="57"/>
    </row>
    <row r="6829" spans="46:121" x14ac:dyDescent="0.2">
      <c r="AT6829" s="57"/>
      <c r="BD6829" s="57"/>
      <c r="BH6829" s="57"/>
      <c r="DQ6829" s="57"/>
    </row>
    <row r="6833" spans="46:121" x14ac:dyDescent="0.2">
      <c r="BV6833" s="57"/>
    </row>
    <row r="6835" spans="46:121" x14ac:dyDescent="0.2">
      <c r="DQ6835" s="57"/>
    </row>
    <row r="6836" spans="46:121" x14ac:dyDescent="0.2">
      <c r="AT6836" s="57"/>
      <c r="BD6836" s="57"/>
      <c r="BH6836" s="57"/>
      <c r="DQ6836" s="57"/>
    </row>
    <row r="6840" spans="46:121" x14ac:dyDescent="0.2">
      <c r="BV6840" s="57"/>
    </row>
    <row r="9110" spans="138:138" x14ac:dyDescent="0.2">
      <c r="EH9110" s="57"/>
    </row>
    <row r="10210" spans="135:135" x14ac:dyDescent="0.2">
      <c r="EE10210" s="57"/>
    </row>
    <row r="10224" spans="135:135" x14ac:dyDescent="0.2">
      <c r="EE10224" s="57"/>
    </row>
    <row r="10230" spans="10:153" x14ac:dyDescent="0.2">
      <c r="J10230" s="57"/>
      <c r="K10230" s="57"/>
      <c r="AC10230" s="57"/>
      <c r="AD10230" s="57"/>
      <c r="AP10230" s="57"/>
      <c r="AV10230" s="57"/>
      <c r="AX10230" s="57"/>
      <c r="AY10230" s="57"/>
      <c r="AZ10230" s="57"/>
      <c r="BO10230" s="57"/>
      <c r="CW10230" s="57"/>
      <c r="CX10230" s="57"/>
      <c r="DB10230" s="57"/>
      <c r="DC10230" s="57"/>
      <c r="DD10230" s="57"/>
      <c r="DE10230" s="57"/>
      <c r="DF10230" s="57"/>
      <c r="DU10230" s="57"/>
      <c r="DV10230" s="57"/>
      <c r="DZ10230" s="57"/>
      <c r="EA10230" s="57"/>
      <c r="EB10230" s="57"/>
      <c r="EC10230" s="57"/>
      <c r="ED10230" s="57"/>
      <c r="EE10230" s="57"/>
      <c r="EF10230" s="57"/>
    </row>
    <row r="10231" spans="10:153" x14ac:dyDescent="0.2">
      <c r="R10231" s="57"/>
      <c r="AB10231" s="57"/>
      <c r="AR10231" s="57"/>
      <c r="AS10231" s="57"/>
      <c r="CQ10231" s="57"/>
      <c r="CV10231" s="57"/>
      <c r="EC10231" s="57"/>
      <c r="ES10231" s="57"/>
    </row>
    <row r="10233" spans="10:153" x14ac:dyDescent="0.2">
      <c r="J10233" s="57"/>
      <c r="K10233" s="57"/>
      <c r="L10233" s="57"/>
      <c r="M10233" s="57"/>
      <c r="N10233" s="57"/>
      <c r="O10233" s="57"/>
      <c r="P10233" s="57"/>
      <c r="AD10233" s="57"/>
      <c r="AH10233" s="57"/>
      <c r="AI10233" s="57"/>
      <c r="AJ10233" s="57"/>
      <c r="AK10233" s="57"/>
      <c r="AL10233" s="57"/>
      <c r="AM10233" s="57"/>
      <c r="AN10233" s="57"/>
      <c r="AO10233" s="57"/>
      <c r="AY10233" s="57"/>
      <c r="BF10233" s="57"/>
      <c r="BG10233" s="57"/>
      <c r="BH10233" s="57"/>
      <c r="BI10233" s="57"/>
      <c r="BJ10233" s="57"/>
      <c r="BK10233" s="57"/>
      <c r="BL10233" s="57"/>
      <c r="BM10233" s="57"/>
      <c r="BV10233" s="57"/>
      <c r="BY10233" s="57"/>
      <c r="BZ10233" s="57"/>
      <c r="CD10233" s="57"/>
      <c r="CE10233" s="57"/>
      <c r="CF10233" s="57"/>
      <c r="CG10233" s="57"/>
      <c r="CH10233" s="57"/>
      <c r="CI10233" s="57"/>
      <c r="CJ10233" s="57"/>
      <c r="CX10233" s="57"/>
      <c r="DB10233" s="57"/>
      <c r="DC10233" s="57"/>
      <c r="DD10233" s="57"/>
      <c r="DE10233" s="57"/>
      <c r="DF10233" s="57"/>
      <c r="DG10233" s="57"/>
      <c r="DH10233" s="57"/>
      <c r="DV10233" s="57"/>
      <c r="DW10233" s="57"/>
      <c r="DX10233" s="57"/>
      <c r="DY10233" s="57"/>
      <c r="EU10233" s="57"/>
      <c r="EV10233" s="57"/>
      <c r="EW10233" s="57"/>
    </row>
    <row r="10235" spans="10:153" x14ac:dyDescent="0.2">
      <c r="J10235" s="57"/>
      <c r="K10235" s="57"/>
      <c r="L10235" s="57"/>
      <c r="AC10235" s="57"/>
      <c r="AD10235" s="57"/>
      <c r="BN10235" s="57"/>
      <c r="BV10235" s="57"/>
      <c r="BW10235" s="57"/>
      <c r="CW10235" s="57"/>
      <c r="DB10235" s="57"/>
      <c r="DC10235" s="57"/>
      <c r="DD10235" s="57"/>
      <c r="DE10235" s="57"/>
      <c r="DM10235" s="57"/>
      <c r="DU10235" s="57"/>
      <c r="DV10235" s="57"/>
      <c r="DZ10235" s="57"/>
      <c r="EA10235" s="57"/>
      <c r="EB10235" s="57"/>
      <c r="EC10235" s="57"/>
      <c r="EE10235" s="57"/>
      <c r="EG10235" s="57"/>
      <c r="ET10235" s="57"/>
      <c r="EU10235" s="57"/>
      <c r="EV10235" s="57"/>
      <c r="EW10235" s="57"/>
    </row>
    <row r="10237" spans="10:153" x14ac:dyDescent="0.2">
      <c r="J10237" s="57"/>
      <c r="K10237" s="57"/>
      <c r="AC10237" s="57"/>
      <c r="AD10237" s="57"/>
      <c r="AP10237" s="57"/>
      <c r="AV10237" s="57"/>
      <c r="AX10237" s="57"/>
      <c r="AY10237" s="57"/>
      <c r="AZ10237" s="57"/>
      <c r="BO10237" s="57"/>
      <c r="CW10237" s="57"/>
      <c r="CX10237" s="57"/>
      <c r="DB10237" s="57"/>
      <c r="DC10237" s="57"/>
      <c r="DD10237" s="57"/>
      <c r="DE10237" s="57"/>
      <c r="DF10237" s="57"/>
      <c r="DU10237" s="57"/>
      <c r="DV10237" s="57"/>
      <c r="DZ10237" s="57"/>
      <c r="EA10237" s="57"/>
      <c r="EB10237" s="57"/>
      <c r="EC10237" s="57"/>
      <c r="ED10237" s="57"/>
      <c r="EE10237" s="57"/>
      <c r="EF10237" s="57"/>
    </row>
    <row r="10238" spans="10:153" x14ac:dyDescent="0.2">
      <c r="R10238" s="57"/>
      <c r="AB10238" s="57"/>
      <c r="AR10238" s="57"/>
      <c r="AS10238" s="57"/>
      <c r="CQ10238" s="57"/>
      <c r="CV10238" s="57"/>
      <c r="EC10238" s="57"/>
      <c r="ES10238" s="57"/>
    </row>
    <row r="10240" spans="10:153" x14ac:dyDescent="0.2">
      <c r="J10240" s="57"/>
      <c r="K10240" s="57"/>
      <c r="L10240" s="57"/>
      <c r="M10240" s="57"/>
      <c r="N10240" s="57"/>
      <c r="O10240" s="57"/>
      <c r="P10240" s="57"/>
      <c r="AD10240" s="57"/>
      <c r="AH10240" s="57"/>
      <c r="AI10240" s="57"/>
      <c r="AJ10240" s="57"/>
      <c r="AK10240" s="57"/>
      <c r="AL10240" s="57"/>
      <c r="AM10240" s="57"/>
      <c r="AN10240" s="57"/>
      <c r="AO10240" s="57"/>
      <c r="AY10240" s="57"/>
      <c r="BF10240" s="57"/>
      <c r="BG10240" s="57"/>
      <c r="BH10240" s="57"/>
      <c r="BI10240" s="57"/>
      <c r="BJ10240" s="57"/>
      <c r="BK10240" s="57"/>
      <c r="BL10240" s="57"/>
      <c r="BM10240" s="57"/>
      <c r="BV10240" s="57"/>
      <c r="BY10240" s="57"/>
      <c r="BZ10240" s="57"/>
      <c r="CD10240" s="57"/>
      <c r="CE10240" s="57"/>
      <c r="CF10240" s="57"/>
      <c r="CG10240" s="57"/>
      <c r="CH10240" s="57"/>
      <c r="CI10240" s="57"/>
      <c r="CJ10240" s="57"/>
      <c r="CX10240" s="57"/>
      <c r="DB10240" s="57"/>
      <c r="DC10240" s="57"/>
      <c r="DD10240" s="57"/>
      <c r="DE10240" s="57"/>
      <c r="DF10240" s="57"/>
      <c r="DG10240" s="57"/>
      <c r="DH10240" s="57"/>
      <c r="DV10240" s="57"/>
      <c r="DW10240" s="57"/>
      <c r="DX10240" s="57"/>
      <c r="DY10240" s="57"/>
      <c r="EU10240" s="57"/>
      <c r="EV10240" s="57"/>
      <c r="EW10240" s="57"/>
    </row>
    <row r="10242" spans="10:153" x14ac:dyDescent="0.2">
      <c r="J10242" s="57"/>
      <c r="K10242" s="57"/>
      <c r="L10242" s="57"/>
      <c r="AC10242" s="57"/>
      <c r="AD10242" s="57"/>
      <c r="BN10242" s="57"/>
      <c r="BV10242" s="57"/>
      <c r="BW10242" s="57"/>
      <c r="CW10242" s="57"/>
      <c r="DB10242" s="57"/>
      <c r="DC10242" s="57"/>
      <c r="DD10242" s="57"/>
      <c r="DE10242" s="57"/>
      <c r="DM10242" s="57"/>
      <c r="DU10242" s="57"/>
      <c r="DV10242" s="57"/>
      <c r="DZ10242" s="57"/>
      <c r="EA10242" s="57"/>
      <c r="EB10242" s="57"/>
      <c r="EC10242" s="57"/>
      <c r="EE10242" s="57"/>
      <c r="EG10242" s="57"/>
      <c r="ET10242" s="57"/>
      <c r="EU10242" s="57"/>
      <c r="EV10242" s="57"/>
      <c r="EW10242" s="57"/>
    </row>
    <row r="14306" spans="178:178" x14ac:dyDescent="0.2">
      <c r="FV14306">
        <v>0</v>
      </c>
    </row>
    <row r="14307" spans="178:178" x14ac:dyDescent="0.2">
      <c r="FV14307">
        <v>0</v>
      </c>
    </row>
    <row r="14308" spans="178:178" x14ac:dyDescent="0.2">
      <c r="FV14308">
        <v>0</v>
      </c>
    </row>
    <row r="14309" spans="178:178" x14ac:dyDescent="0.2">
      <c r="FV14309">
        <v>0</v>
      </c>
    </row>
    <row r="14310" spans="178:178" x14ac:dyDescent="0.2">
      <c r="FV14310">
        <v>0</v>
      </c>
    </row>
    <row r="14311" spans="178:178" x14ac:dyDescent="0.2">
      <c r="FV14311">
        <v>0</v>
      </c>
    </row>
    <row r="14312" spans="178:178" x14ac:dyDescent="0.2">
      <c r="FV14312">
        <v>0</v>
      </c>
    </row>
    <row r="14313" spans="178:178" x14ac:dyDescent="0.2">
      <c r="FV14313">
        <v>0</v>
      </c>
    </row>
    <row r="14314" spans="178:178" x14ac:dyDescent="0.2">
      <c r="FV14314">
        <v>0</v>
      </c>
    </row>
    <row r="14315" spans="178:178" x14ac:dyDescent="0.2">
      <c r="FV14315">
        <v>0</v>
      </c>
    </row>
    <row r="14316" spans="178:178" x14ac:dyDescent="0.2">
      <c r="FV14316">
        <v>0</v>
      </c>
    </row>
    <row r="14317" spans="178:178" x14ac:dyDescent="0.2">
      <c r="FV14317">
        <v>0</v>
      </c>
    </row>
    <row r="14318" spans="178:178" x14ac:dyDescent="0.2">
      <c r="FV14318">
        <v>0</v>
      </c>
    </row>
    <row r="14319" spans="178:178" x14ac:dyDescent="0.2">
      <c r="FV14319">
        <v>0</v>
      </c>
    </row>
    <row r="14320" spans="178:178" x14ac:dyDescent="0.2">
      <c r="FV14320">
        <v>0</v>
      </c>
    </row>
    <row r="14321" spans="178:178" x14ac:dyDescent="0.2">
      <c r="FV14321">
        <v>0</v>
      </c>
    </row>
    <row r="14322" spans="178:178" x14ac:dyDescent="0.2">
      <c r="FV14322">
        <v>0</v>
      </c>
    </row>
    <row r="14323" spans="178:178" x14ac:dyDescent="0.2">
      <c r="FV14323">
        <v>0</v>
      </c>
    </row>
    <row r="14324" spans="178:178" x14ac:dyDescent="0.2">
      <c r="FV14324">
        <v>0</v>
      </c>
    </row>
    <row r="14325" spans="178:178" x14ac:dyDescent="0.2">
      <c r="FV14325">
        <v>0</v>
      </c>
    </row>
    <row r="14326" spans="178:178" x14ac:dyDescent="0.2">
      <c r="FV14326">
        <v>0</v>
      </c>
    </row>
    <row r="14327" spans="178:178" x14ac:dyDescent="0.2">
      <c r="FV14327">
        <v>0</v>
      </c>
    </row>
    <row r="14328" spans="178:178" x14ac:dyDescent="0.2">
      <c r="FV14328">
        <v>0</v>
      </c>
    </row>
    <row r="14329" spans="178:178" x14ac:dyDescent="0.2">
      <c r="FV14329">
        <v>0</v>
      </c>
    </row>
    <row r="14402" spans="178:178" x14ac:dyDescent="0.2">
      <c r="FV14402">
        <v>0</v>
      </c>
    </row>
    <row r="14403" spans="178:178" x14ac:dyDescent="0.2">
      <c r="FV14403">
        <v>0</v>
      </c>
    </row>
    <row r="14404" spans="178:178" x14ac:dyDescent="0.2">
      <c r="FV14404">
        <v>0</v>
      </c>
    </row>
    <row r="14405" spans="178:178" x14ac:dyDescent="0.2">
      <c r="FV14405">
        <v>0</v>
      </c>
    </row>
    <row r="14406" spans="178:178" x14ac:dyDescent="0.2">
      <c r="FV14406">
        <v>0</v>
      </c>
    </row>
    <row r="14407" spans="178:178" x14ac:dyDescent="0.2">
      <c r="FV14407">
        <v>0</v>
      </c>
    </row>
    <row r="14408" spans="178:178" x14ac:dyDescent="0.2">
      <c r="FV14408">
        <v>0</v>
      </c>
    </row>
    <row r="14409" spans="178:178" x14ac:dyDescent="0.2">
      <c r="FV14409">
        <v>0</v>
      </c>
    </row>
    <row r="14410" spans="178:178" x14ac:dyDescent="0.2">
      <c r="FV14410">
        <v>0</v>
      </c>
    </row>
    <row r="14411" spans="178:178" x14ac:dyDescent="0.2">
      <c r="FV14411">
        <v>0</v>
      </c>
    </row>
    <row r="14412" spans="178:178" x14ac:dyDescent="0.2">
      <c r="FV14412">
        <v>0</v>
      </c>
    </row>
    <row r="14413" spans="178:178" x14ac:dyDescent="0.2">
      <c r="FV14413">
        <v>0</v>
      </c>
    </row>
    <row r="14414" spans="178:178" x14ac:dyDescent="0.2">
      <c r="FV14414">
        <v>0</v>
      </c>
    </row>
    <row r="14415" spans="178:178" x14ac:dyDescent="0.2">
      <c r="FV14415">
        <v>0</v>
      </c>
    </row>
    <row r="14416" spans="178:178" x14ac:dyDescent="0.2">
      <c r="FV14416">
        <v>0</v>
      </c>
    </row>
    <row r="14417" spans="178:178" x14ac:dyDescent="0.2">
      <c r="FV14417">
        <v>0</v>
      </c>
    </row>
    <row r="14418" spans="178:178" x14ac:dyDescent="0.2">
      <c r="FV14418">
        <v>0</v>
      </c>
    </row>
    <row r="14425" spans="178:178" x14ac:dyDescent="0.2">
      <c r="FV14425">
        <v>0</v>
      </c>
    </row>
    <row r="14498" spans="178:178" x14ac:dyDescent="0.2">
      <c r="FV14498">
        <v>0</v>
      </c>
    </row>
    <row r="14499" spans="178:178" x14ac:dyDescent="0.2">
      <c r="FV14499">
        <v>0</v>
      </c>
    </row>
    <row r="14500" spans="178:178" x14ac:dyDescent="0.2">
      <c r="FV14500">
        <v>0</v>
      </c>
    </row>
    <row r="14501" spans="178:178" x14ac:dyDescent="0.2">
      <c r="FV14501">
        <v>0</v>
      </c>
    </row>
    <row r="14502" spans="178:178" x14ac:dyDescent="0.2">
      <c r="FV14502">
        <v>0</v>
      </c>
    </row>
    <row r="14503" spans="178:178" x14ac:dyDescent="0.2">
      <c r="FV14503">
        <v>0</v>
      </c>
    </row>
    <row r="14504" spans="178:178" x14ac:dyDescent="0.2">
      <c r="FV14504">
        <v>0</v>
      </c>
    </row>
    <row r="14505" spans="178:178" x14ac:dyDescent="0.2">
      <c r="FV14505">
        <v>0</v>
      </c>
    </row>
    <row r="14506" spans="178:178" x14ac:dyDescent="0.2">
      <c r="FV14506">
        <v>0</v>
      </c>
    </row>
    <row r="14507" spans="178:178" x14ac:dyDescent="0.2">
      <c r="FV14507">
        <v>0</v>
      </c>
    </row>
    <row r="14508" spans="178:178" x14ac:dyDescent="0.2">
      <c r="FV14508">
        <v>0</v>
      </c>
    </row>
    <row r="14509" spans="178:178" x14ac:dyDescent="0.2">
      <c r="FV14509">
        <v>0</v>
      </c>
    </row>
    <row r="14510" spans="178:178" x14ac:dyDescent="0.2">
      <c r="FV14510">
        <v>0</v>
      </c>
    </row>
    <row r="14511" spans="178:178" x14ac:dyDescent="0.2">
      <c r="FV14511">
        <v>0</v>
      </c>
    </row>
    <row r="14512" spans="178:178" x14ac:dyDescent="0.2">
      <c r="FV14512">
        <v>0</v>
      </c>
    </row>
    <row r="14513" spans="178:178" x14ac:dyDescent="0.2">
      <c r="FV14513">
        <v>0</v>
      </c>
    </row>
    <row r="14514" spans="178:178" x14ac:dyDescent="0.2">
      <c r="FV14514">
        <v>0</v>
      </c>
    </row>
    <row r="14518" spans="178:178" x14ac:dyDescent="0.2">
      <c r="FV14518">
        <v>0</v>
      </c>
    </row>
    <row r="14519" spans="178:178" x14ac:dyDescent="0.2">
      <c r="FV14519">
        <v>0</v>
      </c>
    </row>
    <row r="14520" spans="178:178" x14ac:dyDescent="0.2">
      <c r="FV14520">
        <v>0</v>
      </c>
    </row>
    <row r="14521" spans="178:178" x14ac:dyDescent="0.2">
      <c r="FV14521">
        <v>0</v>
      </c>
    </row>
    <row r="15530" spans="178:178" x14ac:dyDescent="0.2">
      <c r="FV15530">
        <v>0</v>
      </c>
    </row>
    <row r="15531" spans="178:178" x14ac:dyDescent="0.2">
      <c r="FV15531">
        <v>0</v>
      </c>
    </row>
    <row r="15532" spans="178:178" x14ac:dyDescent="0.2">
      <c r="FV15532">
        <v>0</v>
      </c>
    </row>
    <row r="15533" spans="178:178" x14ac:dyDescent="0.2">
      <c r="FV15533">
        <v>0</v>
      </c>
    </row>
    <row r="15534" spans="178:178" x14ac:dyDescent="0.2">
      <c r="FV15534">
        <v>0</v>
      </c>
    </row>
    <row r="15535" spans="178:178" x14ac:dyDescent="0.2">
      <c r="FV15535">
        <v>0</v>
      </c>
    </row>
    <row r="15536" spans="178:178" x14ac:dyDescent="0.2">
      <c r="FV15536">
        <v>0</v>
      </c>
    </row>
    <row r="15537" spans="178:178" x14ac:dyDescent="0.2">
      <c r="FV15537">
        <v>0</v>
      </c>
    </row>
    <row r="15538" spans="178:178" x14ac:dyDescent="0.2">
      <c r="FV15538">
        <v>0</v>
      </c>
    </row>
    <row r="15539" spans="178:178" x14ac:dyDescent="0.2">
      <c r="FV15539">
        <v>0</v>
      </c>
    </row>
    <row r="15540" spans="178:178" x14ac:dyDescent="0.2">
      <c r="FV15540">
        <v>0</v>
      </c>
    </row>
    <row r="15541" spans="178:178" x14ac:dyDescent="0.2">
      <c r="FV15541">
        <v>0</v>
      </c>
    </row>
    <row r="15542" spans="178:178" x14ac:dyDescent="0.2">
      <c r="FV15542">
        <v>0</v>
      </c>
    </row>
    <row r="15543" spans="178:178" x14ac:dyDescent="0.2">
      <c r="FV15543">
        <v>0</v>
      </c>
    </row>
    <row r="15544" spans="178:178" x14ac:dyDescent="0.2">
      <c r="FV15544">
        <v>0</v>
      </c>
    </row>
    <row r="15545" spans="178:178" x14ac:dyDescent="0.2">
      <c r="FV15545">
        <v>0</v>
      </c>
    </row>
    <row r="15626" spans="178:178" x14ac:dyDescent="0.2">
      <c r="FV15626">
        <v>0</v>
      </c>
    </row>
    <row r="15627" spans="178:178" x14ac:dyDescent="0.2">
      <c r="FV15627">
        <v>0</v>
      </c>
    </row>
    <row r="15628" spans="178:178" x14ac:dyDescent="0.2">
      <c r="FV15628">
        <v>0</v>
      </c>
    </row>
    <row r="15629" spans="178:178" x14ac:dyDescent="0.2">
      <c r="FV15629">
        <v>0</v>
      </c>
    </row>
    <row r="15630" spans="178:178" x14ac:dyDescent="0.2">
      <c r="FV15630">
        <v>0</v>
      </c>
    </row>
    <row r="15631" spans="178:178" x14ac:dyDescent="0.2">
      <c r="FV15631">
        <v>0</v>
      </c>
    </row>
    <row r="15632" spans="178:178" x14ac:dyDescent="0.2">
      <c r="FV15632">
        <v>0</v>
      </c>
    </row>
    <row r="15633" spans="178:178" x14ac:dyDescent="0.2">
      <c r="FV15633">
        <v>0</v>
      </c>
    </row>
    <row r="15634" spans="178:178" x14ac:dyDescent="0.2">
      <c r="FV15634">
        <v>0</v>
      </c>
    </row>
    <row r="15635" spans="178:178" x14ac:dyDescent="0.2">
      <c r="FV15635">
        <v>0</v>
      </c>
    </row>
    <row r="15636" spans="178:178" x14ac:dyDescent="0.2">
      <c r="FV15636">
        <v>0</v>
      </c>
    </row>
    <row r="15637" spans="178:178" x14ac:dyDescent="0.2">
      <c r="FV15637">
        <v>0</v>
      </c>
    </row>
    <row r="15638" spans="178:178" x14ac:dyDescent="0.2">
      <c r="FV15638">
        <v>0</v>
      </c>
    </row>
    <row r="15639" spans="178:178" x14ac:dyDescent="0.2">
      <c r="FV15639">
        <v>0</v>
      </c>
    </row>
    <row r="15640" spans="178:178" x14ac:dyDescent="0.2">
      <c r="FV15640">
        <v>0</v>
      </c>
    </row>
    <row r="15641" spans="178:178" x14ac:dyDescent="0.2">
      <c r="FV15641">
        <v>0</v>
      </c>
    </row>
    <row r="15642" spans="178:178" x14ac:dyDescent="0.2">
      <c r="FV15642">
        <v>0</v>
      </c>
    </row>
    <row r="15643" spans="178:178" x14ac:dyDescent="0.2">
      <c r="FV15643">
        <v>0</v>
      </c>
    </row>
    <row r="15644" spans="178:178" x14ac:dyDescent="0.2">
      <c r="FV15644">
        <v>0</v>
      </c>
    </row>
    <row r="15645" spans="178:178" x14ac:dyDescent="0.2">
      <c r="FV15645">
        <v>0</v>
      </c>
    </row>
    <row r="15646" spans="178:178" x14ac:dyDescent="0.2">
      <c r="FV15646">
        <v>0</v>
      </c>
    </row>
    <row r="15647" spans="178:178" x14ac:dyDescent="0.2">
      <c r="FV15647">
        <v>0</v>
      </c>
    </row>
    <row r="15648" spans="178:178" x14ac:dyDescent="0.2">
      <c r="FV15648">
        <v>0</v>
      </c>
    </row>
    <row r="15649" spans="178:178" x14ac:dyDescent="0.2">
      <c r="FV15649">
        <v>0</v>
      </c>
    </row>
    <row r="15722" spans="178:178" x14ac:dyDescent="0.2">
      <c r="FV15722">
        <v>0</v>
      </c>
    </row>
    <row r="15723" spans="178:178" x14ac:dyDescent="0.2">
      <c r="FV15723">
        <v>0</v>
      </c>
    </row>
    <row r="15724" spans="178:178" x14ac:dyDescent="0.2">
      <c r="FV15724">
        <v>0</v>
      </c>
    </row>
    <row r="15725" spans="178:178" x14ac:dyDescent="0.2">
      <c r="FV15725">
        <v>0</v>
      </c>
    </row>
    <row r="15726" spans="178:178" x14ac:dyDescent="0.2">
      <c r="FV15726">
        <v>0</v>
      </c>
    </row>
    <row r="15727" spans="178:178" x14ac:dyDescent="0.2">
      <c r="FV15727">
        <v>0</v>
      </c>
    </row>
    <row r="15728" spans="178:178" x14ac:dyDescent="0.2">
      <c r="FV15728">
        <v>0</v>
      </c>
    </row>
    <row r="15729" spans="178:178" x14ac:dyDescent="0.2">
      <c r="FV15729">
        <v>0</v>
      </c>
    </row>
    <row r="15730" spans="178:178" x14ac:dyDescent="0.2">
      <c r="FV15730">
        <v>0</v>
      </c>
    </row>
    <row r="15731" spans="178:178" x14ac:dyDescent="0.2">
      <c r="FV15731">
        <v>0</v>
      </c>
    </row>
    <row r="15732" spans="178:178" x14ac:dyDescent="0.2">
      <c r="FV15732">
        <v>0</v>
      </c>
    </row>
    <row r="15733" spans="178:178" x14ac:dyDescent="0.2">
      <c r="FV15733">
        <v>0</v>
      </c>
    </row>
    <row r="15734" spans="178:178" x14ac:dyDescent="0.2">
      <c r="FV15734">
        <v>0</v>
      </c>
    </row>
    <row r="15735" spans="178:178" x14ac:dyDescent="0.2">
      <c r="FV15735">
        <v>0</v>
      </c>
    </row>
    <row r="15736" spans="178:178" x14ac:dyDescent="0.2">
      <c r="FV15736">
        <v>0</v>
      </c>
    </row>
    <row r="15737" spans="178:178" x14ac:dyDescent="0.2">
      <c r="FV15737">
        <v>0</v>
      </c>
    </row>
    <row r="15738" spans="178:178" x14ac:dyDescent="0.2">
      <c r="FV15738">
        <v>0</v>
      </c>
    </row>
    <row r="15739" spans="178:178" x14ac:dyDescent="0.2">
      <c r="FV15739">
        <v>0</v>
      </c>
    </row>
    <row r="15740" spans="178:178" x14ac:dyDescent="0.2">
      <c r="FV15740">
        <v>0</v>
      </c>
    </row>
    <row r="15741" spans="178:178" x14ac:dyDescent="0.2">
      <c r="FV15741">
        <v>0</v>
      </c>
    </row>
    <row r="15742" spans="178:178" x14ac:dyDescent="0.2">
      <c r="FV15742">
        <v>0</v>
      </c>
    </row>
    <row r="15743" spans="178:178" x14ac:dyDescent="0.2">
      <c r="FV15743">
        <v>0</v>
      </c>
    </row>
    <row r="15744" spans="178:178" x14ac:dyDescent="0.2">
      <c r="FV15744">
        <v>0</v>
      </c>
    </row>
    <row r="15745" spans="178:178" x14ac:dyDescent="0.2">
      <c r="FV15745">
        <v>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Table</vt:lpstr>
      <vt:lpstr>Lookups</vt:lpstr>
      <vt:lpstr>Data</vt:lpstr>
      <vt:lpstr>Bid</vt:lpstr>
      <vt:lpstr>Criteria</vt:lpstr>
      <vt:lpstr>data</vt:lpstr>
      <vt:lpstr>date</vt:lpstr>
      <vt:lpstr>date_list</vt:lpstr>
      <vt:lpstr>dual_enrol_list</vt:lpstr>
      <vt:lpstr>Enrolled</vt:lpstr>
      <vt:lpstr>ind_list</vt:lpstr>
      <vt:lpstr>lca</vt:lpstr>
      <vt:lpstr>lca_list</vt:lpstr>
      <vt:lpstr>Table!Print_Area</vt:lpstr>
      <vt:lpstr>Result_type</vt:lpstr>
      <vt:lpstr>Result_type_list</vt:lpstr>
      <vt:lpstr>Two_way_tab_flag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2015-03-26T16:35:35Z</dcterms:modified>
</cp:coreProperties>
</file>