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30" windowWidth="11085" windowHeight="6075" tabRatio="885" activeTab="8"/>
  </bookViews>
  <sheets>
    <sheet name="Sources" sheetId="1" r:id="rId1"/>
    <sheet name="Summary" sheetId="2" r:id="rId2"/>
    <sheet name="#1-IOUs" sheetId="3" r:id="rId3"/>
    <sheet name="PG&amp;E" sheetId="4" r:id="rId4"/>
    <sheet name="SCE" sheetId="5" r:id="rId5"/>
    <sheet name="SDG&amp;E" sheetId="6" r:id="rId6"/>
    <sheet name="SoCalGas" sheetId="7" r:id="rId7"/>
    <sheet name="#2-Summer Initiative" sheetId="8" r:id="rId8"/>
    <sheet name="#3-CEC" sheetId="9" r:id="rId9"/>
    <sheet name="#4a-Muni-LADWP" sheetId="10" r:id="rId10"/>
    <sheet name="#4b-Muni-SMUD" sheetId="11" r:id="rId11"/>
    <sheet name="#5a-Local_Berkeley" sheetId="12" r:id="rId12"/>
    <sheet name="#5b-Local_SF" sheetId="13" r:id="rId13"/>
    <sheet name="#6-Broad State" sheetId="14" r:id="rId14"/>
    <sheet name="#7-20|20 &amp; Residual" sheetId="15" r:id="rId15"/>
  </sheets>
  <externalReferences>
    <externalReference r:id="rId18"/>
  </externalReferences>
  <definedNames>
    <definedName name="CEC_print" localSheetId="11">#REF!</definedName>
    <definedName name="CEC_print" localSheetId="12">#REF!</definedName>
    <definedName name="CEC_print">'#3-CEC'!$E$6:$AU$14</definedName>
    <definedName name="Incentives_provided_by_the_PUC_for_the_use_of_high_efficiency_pump_and_motor_retrofits_for_oil_and_gas_producers_iand_pipeline_operations.">"scg_print"</definedName>
    <definedName name="ladwp_print" localSheetId="11">#REF!</definedName>
    <definedName name="ladwp_print" localSheetId="12">#REF!</definedName>
    <definedName name="ladwp_print">'#4a-Muni-LADWP'!$F$6:$AC$14</definedName>
    <definedName name="other_print" localSheetId="11">#REF!</definedName>
    <definedName name="other_print" localSheetId="12">#REF!</definedName>
    <definedName name="other_print">'#6-Broad State'!$E$6:$AR$9</definedName>
    <definedName name="pge_print" localSheetId="11">#REF!</definedName>
    <definedName name="pge_print" localSheetId="12">#REF!</definedName>
    <definedName name="pge_print">'PG&amp;E'!$F$6:$AC$52</definedName>
    <definedName name="_xlnm.Print_Area" localSheetId="7">'#2-Summer Initiative'!$F$6:$AS$44</definedName>
    <definedName name="_xlnm.Print_Area" localSheetId="8">'#3-CEC'!$E$6:$AU$14</definedName>
    <definedName name="_xlnm.Print_Area" localSheetId="9">'#4a-Muni-LADWP'!$F$6:$AS$17</definedName>
    <definedName name="_xlnm.Print_Area" localSheetId="10">'#4b-Muni-SMUD'!$E$6:$AR$30</definedName>
    <definedName name="_xlnm.Print_Area" localSheetId="11">'#5a-Local_Berkeley'!$B$1:$AB$16</definedName>
    <definedName name="_xlnm.Print_Area" localSheetId="12">'#5b-Local_SF'!$A$1:$AB$9</definedName>
    <definedName name="_xlnm.Print_Area" localSheetId="13">'#6-Broad State'!$E$6:$AR$9</definedName>
    <definedName name="_xlnm.Print_Area" localSheetId="3">'PG&amp;E'!$F$6:$AS$51</definedName>
    <definedName name="_xlnm.Print_Area" localSheetId="4">'SCE'!$F$6:$AS$38</definedName>
    <definedName name="_xlnm.Print_Area" localSheetId="5">'SDG&amp;E'!$F$6:$AS$56</definedName>
    <definedName name="_xlnm.Print_Area" localSheetId="6">'SoCalGas'!$E$6:$AR$38</definedName>
    <definedName name="print_sample" localSheetId="12">'#5b-Local_SF'!$B$1:$AB$8</definedName>
    <definedName name="print_sample">'#5a-Local_Berkeley'!$B$1:$AB$16</definedName>
    <definedName name="_xlnm.Print_Titles" localSheetId="7">'#2-Summer Initiative'!$A:$E,'#2-Summer Initiative'!$1:$5</definedName>
    <definedName name="_xlnm.Print_Titles" localSheetId="8">'#3-CEC'!$B:$D,'#3-CEC'!$1:$5</definedName>
    <definedName name="_xlnm.Print_Titles" localSheetId="9">'#4a-Muni-LADWP'!$A:$E,'#4a-Muni-LADWP'!$1:$5</definedName>
    <definedName name="_xlnm.Print_Titles" localSheetId="10">'#4b-Muni-SMUD'!$B:$D,'#4b-Muni-SMUD'!$1:$5</definedName>
    <definedName name="_xlnm.Print_Titles" localSheetId="13">'#6-Broad State'!$B:$D,'#6-Broad State'!$1:$5</definedName>
    <definedName name="_xlnm.Print_Titles" localSheetId="3">'PG&amp;E'!$A:$E,'PG&amp;E'!$1:$5</definedName>
    <definedName name="_xlnm.Print_Titles" localSheetId="4">'SCE'!$A:$E,'SCE'!$1:$5</definedName>
    <definedName name="_xlnm.Print_Titles" localSheetId="5">'SDG&amp;E'!$A:$E,'SDG&amp;E'!$1:$5</definedName>
    <definedName name="_xlnm.Print_Titles" localSheetId="6">'SoCalGas'!$A:$D,'SoCalGas'!$1:$5</definedName>
    <definedName name="sce_print" localSheetId="11">#REF!</definedName>
    <definedName name="sce_print" localSheetId="12">#REF!</definedName>
    <definedName name="sce_print">'SCE'!$F$6:$AS$38</definedName>
    <definedName name="scg_print" localSheetId="11">#REF!</definedName>
    <definedName name="scg_print" localSheetId="12">#REF!</definedName>
    <definedName name="scg_print">'SoCalGas'!$E$6:$AR$38</definedName>
    <definedName name="sdge_print" localSheetId="11">#REF!</definedName>
    <definedName name="sdge_print" localSheetId="12">#REF!</definedName>
    <definedName name="sdge_print">'SDG&amp;E'!$F$6:$AC$53</definedName>
    <definedName name="smud_print" localSheetId="11">#REF!</definedName>
    <definedName name="smud_print" localSheetId="12">#REF!</definedName>
    <definedName name="smud_print">'#4b-Muni-SMUD'!$E$6:$AR$30</definedName>
    <definedName name="top" localSheetId="8">'#3-CEC'!#REF!</definedName>
    <definedName name="top" localSheetId="9">'#4a-Muni-LADWP'!#REF!</definedName>
    <definedName name="top" localSheetId="10">'#4b-Muni-SMUD'!#REF!</definedName>
    <definedName name="top" localSheetId="13">'#6-Broad State'!#REF!</definedName>
    <definedName name="top" localSheetId="3">'PG&amp;E'!#REF!</definedName>
    <definedName name="top" localSheetId="4">'SCE'!#REF!</definedName>
    <definedName name="top" localSheetId="5">'SDG&amp;E'!#REF!</definedName>
    <definedName name="top" localSheetId="6">'SoCalGas'!#REF!</definedName>
  </definedNames>
  <calcPr fullCalcOnLoad="1"/>
</workbook>
</file>

<file path=xl/comments10.xml><?xml version="1.0" encoding="utf-8"?>
<comments xmlns="http://schemas.openxmlformats.org/spreadsheetml/2006/main">
  <authors>
    <author>Omar Siddiqui</author>
  </authors>
  <commentList>
    <comment ref="AN9" authorId="0">
      <text>
        <r>
          <rPr>
            <b/>
            <sz val="8"/>
            <rFont val="Tahoma"/>
            <family val="0"/>
          </rPr>
          <t>Source: 16
Sum of average peak load reduction from every month</t>
        </r>
      </text>
    </comment>
    <comment ref="AM9" authorId="0">
      <text>
        <r>
          <rPr>
            <b/>
            <sz val="8"/>
            <rFont val="Tahoma"/>
            <family val="0"/>
          </rPr>
          <t>Source: 16</t>
        </r>
      </text>
    </comment>
    <comment ref="AN6" authorId="0">
      <text>
        <r>
          <rPr>
            <b/>
            <sz val="8"/>
            <rFont val="Tahoma"/>
            <family val="0"/>
          </rPr>
          <t>Source: 16
Sum of average peak load reduction from every month</t>
        </r>
      </text>
    </comment>
    <comment ref="AN7" authorId="0">
      <text>
        <r>
          <rPr>
            <b/>
            <sz val="8"/>
            <rFont val="Tahoma"/>
            <family val="0"/>
          </rPr>
          <t>Source: 16
Sum of average peak load reduction from every month</t>
        </r>
      </text>
    </comment>
    <comment ref="AN8" authorId="0">
      <text>
        <r>
          <rPr>
            <b/>
            <sz val="8"/>
            <rFont val="Tahoma"/>
            <family val="0"/>
          </rPr>
          <t>Source: 16
Sum of average peak load reduction from every month</t>
        </r>
      </text>
    </comment>
    <comment ref="AN10" authorId="0">
      <text>
        <r>
          <rPr>
            <b/>
            <sz val="8"/>
            <rFont val="Tahoma"/>
            <family val="0"/>
          </rPr>
          <t>Source: 16
Sum of average peak load reduction from every month</t>
        </r>
      </text>
    </comment>
    <comment ref="AN11" authorId="0">
      <text>
        <r>
          <rPr>
            <b/>
            <sz val="8"/>
            <rFont val="Tahoma"/>
            <family val="0"/>
          </rPr>
          <t>Source: 16
Sum of average peak load reduction from every month</t>
        </r>
      </text>
    </comment>
    <comment ref="AM6" authorId="0">
      <text>
        <r>
          <rPr>
            <b/>
            <sz val="8"/>
            <rFont val="Tahoma"/>
            <family val="0"/>
          </rPr>
          <t>Source: 16</t>
        </r>
      </text>
    </comment>
    <comment ref="AM8" authorId="0">
      <text>
        <r>
          <rPr>
            <b/>
            <sz val="8"/>
            <rFont val="Tahoma"/>
            <family val="0"/>
          </rPr>
          <t>Source: 16</t>
        </r>
      </text>
    </comment>
    <comment ref="AM10" authorId="0">
      <text>
        <r>
          <rPr>
            <b/>
            <sz val="8"/>
            <rFont val="Tahoma"/>
            <family val="0"/>
          </rPr>
          <t>Source: 16</t>
        </r>
      </text>
    </comment>
    <comment ref="AM11" authorId="0">
      <text>
        <r>
          <rPr>
            <b/>
            <sz val="8"/>
            <rFont val="Tahoma"/>
            <family val="0"/>
          </rPr>
          <t>Source: 16</t>
        </r>
      </text>
    </comment>
    <comment ref="AH6" authorId="0">
      <text>
        <r>
          <rPr>
            <b/>
            <sz val="8"/>
            <rFont val="Tahoma"/>
            <family val="0"/>
          </rPr>
          <t>Source: 16</t>
        </r>
      </text>
    </comment>
    <comment ref="AH7" authorId="0">
      <text>
        <r>
          <rPr>
            <b/>
            <sz val="8"/>
            <rFont val="Tahoma"/>
            <family val="0"/>
          </rPr>
          <t>Source: 16</t>
        </r>
      </text>
    </comment>
    <comment ref="AH8" authorId="0">
      <text>
        <r>
          <rPr>
            <b/>
            <sz val="8"/>
            <rFont val="Tahoma"/>
            <family val="0"/>
          </rPr>
          <t>Source: 16</t>
        </r>
      </text>
    </comment>
    <comment ref="AH9" authorId="0">
      <text>
        <r>
          <rPr>
            <b/>
            <sz val="8"/>
            <rFont val="Tahoma"/>
            <family val="0"/>
          </rPr>
          <t>Source: 16</t>
        </r>
      </text>
    </comment>
    <comment ref="AH10" authorId="0">
      <text>
        <r>
          <rPr>
            <b/>
            <sz val="8"/>
            <rFont val="Tahoma"/>
            <family val="0"/>
          </rPr>
          <t>Source: 16</t>
        </r>
      </text>
    </comment>
    <comment ref="AH11" authorId="0">
      <text>
        <r>
          <rPr>
            <b/>
            <sz val="8"/>
            <rFont val="Tahoma"/>
            <family val="0"/>
          </rPr>
          <t>Source: 16</t>
        </r>
      </text>
    </comment>
    <comment ref="AM7" authorId="0">
      <text>
        <r>
          <rPr>
            <b/>
            <sz val="8"/>
            <rFont val="Tahoma"/>
            <family val="0"/>
          </rPr>
          <t>Source: 16
3,625 hours of annual operation provided by Ed Petok</t>
        </r>
      </text>
    </comment>
  </commentList>
</comments>
</file>

<file path=xl/comments11.xml><?xml version="1.0" encoding="utf-8"?>
<comments xmlns="http://schemas.openxmlformats.org/spreadsheetml/2006/main">
  <authors>
    <author>Omar Siddiqui</author>
  </authors>
  <commentList>
    <comment ref="AL21" authorId="0">
      <text>
        <r>
          <rPr>
            <b/>
            <sz val="8"/>
            <rFont val="Tahoma"/>
            <family val="0"/>
          </rPr>
          <t>Omar Siddiqui:</t>
        </r>
        <r>
          <rPr>
            <sz val="8"/>
            <rFont val="Tahoma"/>
            <family val="0"/>
          </rPr>
          <t xml:space="preserve">
2290 acc to Novak</t>
        </r>
      </text>
    </comment>
    <comment ref="AE6" authorId="0">
      <text>
        <r>
          <rPr>
            <b/>
            <sz val="8"/>
            <rFont val="Tahoma"/>
            <family val="0"/>
          </rPr>
          <t>PGC   $405.0k
SBx5 $403.5k</t>
        </r>
      </text>
    </comment>
    <comment ref="AM12" authorId="0">
      <text>
        <r>
          <rPr>
            <b/>
            <sz val="8"/>
            <rFont val="Tahoma"/>
            <family val="0"/>
          </rPr>
          <t>326 kW (2-6 pm avg.)</t>
        </r>
      </text>
    </comment>
    <comment ref="AM17" authorId="0">
      <text>
        <r>
          <rPr>
            <b/>
            <sz val="8"/>
            <rFont val="Tahoma"/>
            <family val="0"/>
          </rPr>
          <t>160 kW (2-6 pm avg.)</t>
        </r>
      </text>
    </comment>
    <comment ref="AM20" authorId="0">
      <text>
        <r>
          <rPr>
            <b/>
            <sz val="8"/>
            <rFont val="Tahoma"/>
            <family val="0"/>
          </rPr>
          <t>(2-6 pm avg.)</t>
        </r>
      </text>
    </comment>
    <comment ref="AM24" authorId="0">
      <text>
        <r>
          <rPr>
            <b/>
            <sz val="8"/>
            <rFont val="Tahoma"/>
            <family val="0"/>
          </rPr>
          <t>(2-6 pm avg.)</t>
        </r>
      </text>
    </comment>
    <comment ref="AC4" authorId="0">
      <text>
        <r>
          <rPr>
            <b/>
            <sz val="8"/>
            <rFont val="Tahoma"/>
            <family val="0"/>
          </rPr>
          <t>Source: 21</t>
        </r>
        <r>
          <rPr>
            <sz val="8"/>
            <rFont val="Tahoma"/>
            <family val="0"/>
          </rPr>
          <t xml:space="preserve">
</t>
        </r>
      </text>
    </comment>
    <comment ref="AF4" authorId="0">
      <text>
        <r>
          <rPr>
            <b/>
            <sz val="8"/>
            <rFont val="Tahoma"/>
            <family val="0"/>
          </rPr>
          <t>Source: 21</t>
        </r>
        <r>
          <rPr>
            <sz val="8"/>
            <rFont val="Tahoma"/>
            <family val="0"/>
          </rPr>
          <t xml:space="preserve">
</t>
        </r>
      </text>
    </comment>
    <comment ref="AI4" authorId="0">
      <text>
        <r>
          <rPr>
            <b/>
            <sz val="8"/>
            <rFont val="Tahoma"/>
            <family val="0"/>
          </rPr>
          <t>Source: 21</t>
        </r>
        <r>
          <rPr>
            <sz val="8"/>
            <rFont val="Tahoma"/>
            <family val="0"/>
          </rPr>
          <t xml:space="preserve">
</t>
        </r>
      </text>
    </comment>
    <comment ref="AL4" authorId="0">
      <text>
        <r>
          <rPr>
            <b/>
            <sz val="8"/>
            <rFont val="Tahoma"/>
            <family val="0"/>
          </rPr>
          <t>Source: 21</t>
        </r>
        <r>
          <rPr>
            <sz val="8"/>
            <rFont val="Tahoma"/>
            <family val="0"/>
          </rPr>
          <t xml:space="preserve">
</t>
        </r>
      </text>
    </comment>
  </commentList>
</comments>
</file>

<file path=xl/comments12.xml><?xml version="1.0" encoding="utf-8"?>
<comments xmlns="http://schemas.openxmlformats.org/spreadsheetml/2006/main">
  <authors>
    <author>Omar Siddiqui</author>
  </authors>
  <commentList>
    <comment ref="S12" authorId="0">
      <text>
        <r>
          <rPr>
            <b/>
            <sz val="8"/>
            <rFont val="Tahoma"/>
            <family val="0"/>
          </rPr>
          <t>Source: 19
180.31 MWh of savings in 2001 included in PG&amp;E's LED Traffic Signal program.  Not repeated here to avoid double counting</t>
        </r>
      </text>
    </comment>
    <comment ref="S8" authorId="0">
      <text>
        <r>
          <rPr>
            <b/>
            <sz val="8"/>
            <rFont val="Tahoma"/>
            <family val="0"/>
          </rPr>
          <t>Source: 19
Calculated based on inputs provided by City of Berkeley</t>
        </r>
      </text>
    </comment>
  </commentList>
</comments>
</file>

<file path=xl/comments13.xml><?xml version="1.0" encoding="utf-8"?>
<comments xmlns="http://schemas.openxmlformats.org/spreadsheetml/2006/main">
  <authors>
    <author>Omar Siddiqui</author>
  </authors>
  <commentList>
    <comment ref="L6" authorId="0">
      <text>
        <r>
          <rPr>
            <b/>
            <sz val="8"/>
            <rFont val="Tahoma"/>
            <family val="0"/>
          </rPr>
          <t>Source: 19
FY 01-02</t>
        </r>
        <r>
          <rPr>
            <sz val="8"/>
            <rFont val="Tahoma"/>
            <family val="0"/>
          </rPr>
          <t xml:space="preserve">
</t>
        </r>
      </text>
    </comment>
    <comment ref="L7" authorId="0">
      <text>
        <r>
          <rPr>
            <b/>
            <sz val="8"/>
            <rFont val="Tahoma"/>
            <family val="0"/>
          </rPr>
          <t>Source: 19</t>
        </r>
      </text>
    </comment>
    <comment ref="O7" authorId="0">
      <text>
        <r>
          <rPr>
            <b/>
            <sz val="8"/>
            <rFont val="Tahoma"/>
            <family val="0"/>
          </rPr>
          <t>Source: 19</t>
        </r>
      </text>
    </comment>
    <comment ref="S7" authorId="0">
      <text>
        <r>
          <rPr>
            <b/>
            <sz val="8"/>
            <rFont val="Tahoma"/>
            <family val="0"/>
          </rPr>
          <t>Source: 19
Annualized</t>
        </r>
      </text>
    </comment>
    <comment ref="T7" authorId="0">
      <text>
        <r>
          <rPr>
            <b/>
            <sz val="8"/>
            <rFont val="Tahoma"/>
            <family val="0"/>
          </rPr>
          <t>Source 19
to-date</t>
        </r>
      </text>
    </comment>
    <comment ref="O8" authorId="0">
      <text>
        <r>
          <rPr>
            <b/>
            <sz val="8"/>
            <rFont val="Tahoma"/>
            <family val="0"/>
          </rPr>
          <t>Source: 19</t>
        </r>
      </text>
    </comment>
    <comment ref="L8" authorId="0">
      <text>
        <r>
          <rPr>
            <b/>
            <sz val="8"/>
            <rFont val="Tahoma"/>
            <family val="0"/>
          </rPr>
          <t>Source; 19</t>
        </r>
      </text>
    </comment>
    <comment ref="O6" authorId="0">
      <text>
        <r>
          <rPr>
            <b/>
            <sz val="8"/>
            <rFont val="Tahoma"/>
            <family val="0"/>
          </rPr>
          <t>Source: 19</t>
        </r>
      </text>
    </comment>
  </commentList>
</comments>
</file>

<file path=xl/comments14.xml><?xml version="1.0" encoding="utf-8"?>
<comments xmlns="http://schemas.openxmlformats.org/spreadsheetml/2006/main">
  <authors>
    <author>Omar Siddiqui</author>
  </authors>
  <commentList>
    <comment ref="AE7" authorId="0">
      <text>
        <r>
          <rPr>
            <b/>
            <sz val="8"/>
            <rFont val="Tahoma"/>
            <family val="0"/>
          </rPr>
          <t xml:space="preserve">Source 1
Note:
$40M from SBx1 5;
</t>
        </r>
      </text>
    </comment>
    <comment ref="AE9" authorId="0">
      <text>
        <r>
          <rPr>
            <b/>
            <sz val="8"/>
            <rFont val="Tahoma"/>
            <family val="0"/>
          </rPr>
          <t>Source: 17
Page 5-8</t>
        </r>
        <r>
          <rPr>
            <sz val="8"/>
            <rFont val="Tahoma"/>
            <family val="0"/>
          </rPr>
          <t xml:space="preserve">
</t>
        </r>
      </text>
    </comment>
    <comment ref="AG9" authorId="0">
      <text>
        <r>
          <rPr>
            <b/>
            <sz val="8"/>
            <rFont val="Tahoma"/>
            <family val="0"/>
          </rPr>
          <t>Source: 17
Page 5-8
Refers to estimated cost to program of procuring 1.9 million CFLs at an average cost of $5.25 per bulb.</t>
        </r>
      </text>
    </comment>
  </commentList>
</comments>
</file>

<file path=xl/comments15.xml><?xml version="1.0" encoding="utf-8"?>
<comments xmlns="http://schemas.openxmlformats.org/spreadsheetml/2006/main">
  <authors>
    <author>Omar Siddiqui</author>
  </authors>
  <commentList>
    <comment ref="AE7" authorId="0">
      <text>
        <r>
          <rPr>
            <b/>
            <sz val="8"/>
            <rFont val="Tahoma"/>
            <family val="0"/>
          </rPr>
          <t>Source: 10
$65M allocated for "public awareness media campaign" in 2001</t>
        </r>
      </text>
    </comment>
    <comment ref="AH7" authorId="0">
      <text>
        <r>
          <rPr>
            <b/>
            <sz val="8"/>
            <rFont val="Tahoma"/>
            <family val="0"/>
          </rPr>
          <t>Assumption that budget was consumed</t>
        </r>
      </text>
    </comment>
    <comment ref="AJ7" authorId="0">
      <text>
        <r>
          <rPr>
            <b/>
            <sz val="8"/>
            <rFont val="Tahoma"/>
            <family val="0"/>
          </rPr>
          <t>Overall system peak reduction goal</t>
        </r>
      </text>
    </comment>
    <comment ref="AF9" authorId="0">
      <text>
        <r>
          <rPr>
            <b/>
            <sz val="8"/>
            <rFont val="Tahoma"/>
            <family val="0"/>
          </rPr>
          <t>Confirm with DWR
Theresa Lidle, Deputy Controller
(916) 653-6148</t>
        </r>
      </text>
    </comment>
    <comment ref="AG9" authorId="0">
      <text>
        <r>
          <rPr>
            <b/>
            <sz val="8"/>
            <rFont val="Tahoma"/>
            <family val="0"/>
          </rPr>
          <t>Source: 18
Total Rebate Amount</t>
        </r>
      </text>
    </comment>
    <comment ref="AH9" authorId="0">
      <text>
        <r>
          <rPr>
            <b/>
            <sz val="8"/>
            <rFont val="Tahoma"/>
            <family val="0"/>
          </rPr>
          <t>Confirm with DWR
Theresa Lidle, Deputy Controller
(916) 653-6148</t>
        </r>
      </text>
    </comment>
    <comment ref="AJ9" authorId="0">
      <text>
        <r>
          <rPr>
            <b/>
            <sz val="8"/>
            <rFont val="Tahoma"/>
            <family val="0"/>
          </rPr>
          <t>Source: 1</t>
        </r>
      </text>
    </comment>
  </commentList>
</comments>
</file>

<file path=xl/comments2.xml><?xml version="1.0" encoding="utf-8"?>
<comments xmlns="http://schemas.openxmlformats.org/spreadsheetml/2006/main">
  <authors>
    <author>Omar Siddiqui</author>
  </authors>
  <commentList>
    <comment ref="H6" authorId="0">
      <text>
        <r>
          <rPr>
            <b/>
            <sz val="8"/>
            <rFont val="Tahoma"/>
            <family val="0"/>
          </rPr>
          <t>Omar Siddiqui:</t>
        </r>
        <r>
          <rPr>
            <sz val="8"/>
            <rFont val="Tahoma"/>
            <family val="0"/>
          </rPr>
          <t xml:space="preserve">
Single biggest factor accounting for this downward reduction is ARCA Ref-Rec program in SDG&amp;E service territory; figure was over 80 GWh in CPUC report to the Legislature, but was actually reported by SDG&amp;E as only 3 GWh</t>
        </r>
      </text>
    </comment>
  </commentList>
</comments>
</file>

<file path=xl/comments4.xml><?xml version="1.0" encoding="utf-8"?>
<comments xmlns="http://schemas.openxmlformats.org/spreadsheetml/2006/main">
  <authors>
    <author>Omar Siddiqui</author>
  </authors>
  <commentList>
    <comment ref="AI11" authorId="0">
      <text>
        <r>
          <rPr>
            <b/>
            <sz val="8"/>
            <rFont val="Tahoma"/>
            <family val="0"/>
          </rPr>
          <t>Source: 3</t>
        </r>
      </text>
    </comment>
    <comment ref="AF11" authorId="0">
      <text>
        <r>
          <rPr>
            <b/>
            <sz val="8"/>
            <rFont val="Tahoma"/>
            <family val="0"/>
          </rPr>
          <t>Source: 3</t>
        </r>
      </text>
    </comment>
    <comment ref="AF12" authorId="0">
      <text>
        <r>
          <rPr>
            <b/>
            <sz val="8"/>
            <rFont val="Tahoma"/>
            <family val="0"/>
          </rPr>
          <t>Source: 3</t>
        </r>
      </text>
    </comment>
    <comment ref="AI12" authorId="0">
      <text>
        <r>
          <rPr>
            <b/>
            <sz val="8"/>
            <rFont val="Tahoma"/>
            <family val="0"/>
          </rPr>
          <t>Source: 3</t>
        </r>
      </text>
    </comment>
    <comment ref="AM12" authorId="0">
      <text>
        <r>
          <rPr>
            <b/>
            <sz val="8"/>
            <rFont val="Tahoma"/>
            <family val="0"/>
          </rPr>
          <t>Source: 3</t>
        </r>
      </text>
    </comment>
    <comment ref="AN12" authorId="0">
      <text>
        <r>
          <rPr>
            <b/>
            <sz val="8"/>
            <rFont val="Tahoma"/>
            <family val="0"/>
          </rPr>
          <t>Source: 3</t>
        </r>
      </text>
    </comment>
    <comment ref="AF13" authorId="0">
      <text>
        <r>
          <rPr>
            <b/>
            <sz val="8"/>
            <rFont val="Tahoma"/>
            <family val="0"/>
          </rPr>
          <t>Source: 3</t>
        </r>
      </text>
    </comment>
    <comment ref="AI13" authorId="0">
      <text>
        <r>
          <rPr>
            <b/>
            <sz val="8"/>
            <rFont val="Tahoma"/>
            <family val="0"/>
          </rPr>
          <t>Source: 3</t>
        </r>
      </text>
    </comment>
    <comment ref="AM13" authorId="0">
      <text>
        <r>
          <rPr>
            <b/>
            <sz val="8"/>
            <rFont val="Tahoma"/>
            <family val="0"/>
          </rPr>
          <t>Source: 3</t>
        </r>
      </text>
    </comment>
    <comment ref="AN13" authorId="0">
      <text>
        <r>
          <rPr>
            <b/>
            <sz val="8"/>
            <rFont val="Tahoma"/>
            <family val="0"/>
          </rPr>
          <t>Source: 3</t>
        </r>
      </text>
    </comment>
    <comment ref="AF14" authorId="0">
      <text>
        <r>
          <rPr>
            <b/>
            <sz val="8"/>
            <rFont val="Tahoma"/>
            <family val="0"/>
          </rPr>
          <t>Source: 3</t>
        </r>
      </text>
    </comment>
    <comment ref="AI14" authorId="0">
      <text>
        <r>
          <rPr>
            <b/>
            <sz val="8"/>
            <rFont val="Tahoma"/>
            <family val="0"/>
          </rPr>
          <t>Source: 3</t>
        </r>
      </text>
    </comment>
    <comment ref="AM14" authorId="0">
      <text>
        <r>
          <rPr>
            <b/>
            <sz val="8"/>
            <rFont val="Tahoma"/>
            <family val="0"/>
          </rPr>
          <t>Source: 3</t>
        </r>
      </text>
    </comment>
    <comment ref="AN14" authorId="0">
      <text>
        <r>
          <rPr>
            <b/>
            <sz val="8"/>
            <rFont val="Tahoma"/>
            <family val="0"/>
          </rPr>
          <t>Source: 3</t>
        </r>
      </text>
    </comment>
    <comment ref="AO14" authorId="0">
      <text>
        <r>
          <rPr>
            <b/>
            <sz val="8"/>
            <rFont val="Tahoma"/>
            <family val="0"/>
          </rPr>
          <t>Source: 3</t>
        </r>
      </text>
    </comment>
    <comment ref="AM15" authorId="0">
      <text>
        <r>
          <rPr>
            <b/>
            <sz val="8"/>
            <rFont val="Tahoma"/>
            <family val="0"/>
          </rPr>
          <t>Source: 3</t>
        </r>
      </text>
    </comment>
    <comment ref="AN15" authorId="0">
      <text>
        <r>
          <rPr>
            <b/>
            <sz val="8"/>
            <rFont val="Tahoma"/>
            <family val="0"/>
          </rPr>
          <t>Source: 3</t>
        </r>
      </text>
    </comment>
    <comment ref="AO15" authorId="0">
      <text>
        <r>
          <rPr>
            <b/>
            <sz val="8"/>
            <rFont val="Tahoma"/>
            <family val="0"/>
          </rPr>
          <t>Source: 3</t>
        </r>
      </text>
    </comment>
    <comment ref="AF15" authorId="0">
      <text>
        <r>
          <rPr>
            <b/>
            <sz val="8"/>
            <rFont val="Tahoma"/>
            <family val="0"/>
          </rPr>
          <t>Source: 3</t>
        </r>
      </text>
    </comment>
    <comment ref="AI15" authorId="0">
      <text>
        <r>
          <rPr>
            <b/>
            <sz val="8"/>
            <rFont val="Tahoma"/>
            <family val="0"/>
          </rPr>
          <t>Source: 3</t>
        </r>
      </text>
    </comment>
    <comment ref="AF16" authorId="0">
      <text>
        <r>
          <rPr>
            <b/>
            <sz val="8"/>
            <rFont val="Tahoma"/>
            <family val="0"/>
          </rPr>
          <t>Source: 3</t>
        </r>
      </text>
    </comment>
    <comment ref="AI16" authorId="0">
      <text>
        <r>
          <rPr>
            <b/>
            <sz val="8"/>
            <rFont val="Tahoma"/>
            <family val="0"/>
          </rPr>
          <t>Source: 3</t>
        </r>
      </text>
    </comment>
    <comment ref="AM16" authorId="0">
      <text>
        <r>
          <rPr>
            <b/>
            <sz val="8"/>
            <rFont val="Tahoma"/>
            <family val="0"/>
          </rPr>
          <t>Source: 3</t>
        </r>
      </text>
    </comment>
    <comment ref="AN16" authorId="0">
      <text>
        <r>
          <rPr>
            <b/>
            <sz val="8"/>
            <rFont val="Tahoma"/>
            <family val="0"/>
          </rPr>
          <t>Source: 3</t>
        </r>
      </text>
    </comment>
    <comment ref="AO16" authorId="0">
      <text>
        <r>
          <rPr>
            <b/>
            <sz val="8"/>
            <rFont val="Tahoma"/>
            <family val="0"/>
          </rPr>
          <t>Source: 3</t>
        </r>
      </text>
    </comment>
    <comment ref="AF17" authorId="0">
      <text>
        <r>
          <rPr>
            <b/>
            <sz val="8"/>
            <rFont val="Tahoma"/>
            <family val="0"/>
          </rPr>
          <t>Source: 3</t>
        </r>
      </text>
    </comment>
    <comment ref="AI17" authorId="0">
      <text>
        <r>
          <rPr>
            <b/>
            <sz val="8"/>
            <rFont val="Tahoma"/>
            <family val="0"/>
          </rPr>
          <t>Source: 3</t>
        </r>
      </text>
    </comment>
    <comment ref="AM17" authorId="0">
      <text>
        <r>
          <rPr>
            <b/>
            <sz val="8"/>
            <rFont val="Tahoma"/>
            <family val="0"/>
          </rPr>
          <t>Source: 3</t>
        </r>
      </text>
    </comment>
    <comment ref="AN17" authorId="0">
      <text>
        <r>
          <rPr>
            <b/>
            <sz val="8"/>
            <rFont val="Tahoma"/>
            <family val="0"/>
          </rPr>
          <t>Source: 3</t>
        </r>
      </text>
    </comment>
    <comment ref="AO17" authorId="0">
      <text>
        <r>
          <rPr>
            <b/>
            <sz val="8"/>
            <rFont val="Tahoma"/>
            <family val="0"/>
          </rPr>
          <t>Source: 3</t>
        </r>
      </text>
    </comment>
    <comment ref="AF18" authorId="0">
      <text>
        <r>
          <rPr>
            <b/>
            <sz val="8"/>
            <rFont val="Tahoma"/>
            <family val="0"/>
          </rPr>
          <t>Source: 3</t>
        </r>
      </text>
    </comment>
    <comment ref="AI18" authorId="0">
      <text>
        <r>
          <rPr>
            <b/>
            <sz val="8"/>
            <rFont val="Tahoma"/>
            <family val="0"/>
          </rPr>
          <t>Source: 3</t>
        </r>
      </text>
    </comment>
    <comment ref="AM18" authorId="0">
      <text>
        <r>
          <rPr>
            <b/>
            <sz val="8"/>
            <rFont val="Tahoma"/>
            <family val="0"/>
          </rPr>
          <t>Source: 3</t>
        </r>
      </text>
    </comment>
    <comment ref="AN18" authorId="0">
      <text>
        <r>
          <rPr>
            <b/>
            <sz val="8"/>
            <rFont val="Tahoma"/>
            <family val="0"/>
          </rPr>
          <t>Source: 3</t>
        </r>
      </text>
    </comment>
    <comment ref="AO18" authorId="0">
      <text>
        <r>
          <rPr>
            <b/>
            <sz val="8"/>
            <rFont val="Tahoma"/>
            <family val="0"/>
          </rPr>
          <t>Source: 3</t>
        </r>
      </text>
    </comment>
    <comment ref="AF19" authorId="0">
      <text>
        <r>
          <rPr>
            <b/>
            <sz val="8"/>
            <rFont val="Tahoma"/>
            <family val="0"/>
          </rPr>
          <t>Source: 3</t>
        </r>
      </text>
    </comment>
    <comment ref="AI19" authorId="0">
      <text>
        <r>
          <rPr>
            <b/>
            <sz val="8"/>
            <rFont val="Tahoma"/>
            <family val="0"/>
          </rPr>
          <t>Source: 3</t>
        </r>
      </text>
    </comment>
    <comment ref="AM19" authorId="0">
      <text>
        <r>
          <rPr>
            <b/>
            <sz val="8"/>
            <rFont val="Tahoma"/>
            <family val="0"/>
          </rPr>
          <t>Source: 3</t>
        </r>
      </text>
    </comment>
    <comment ref="AN19" authorId="0">
      <text>
        <r>
          <rPr>
            <b/>
            <sz val="8"/>
            <rFont val="Tahoma"/>
            <family val="0"/>
          </rPr>
          <t>Source: 3</t>
        </r>
      </text>
    </comment>
    <comment ref="AO19" authorId="0">
      <text>
        <r>
          <rPr>
            <b/>
            <sz val="8"/>
            <rFont val="Tahoma"/>
            <family val="0"/>
          </rPr>
          <t>Source: 3</t>
        </r>
      </text>
    </comment>
    <comment ref="AF20" authorId="0">
      <text>
        <r>
          <rPr>
            <b/>
            <sz val="8"/>
            <rFont val="Tahoma"/>
            <family val="0"/>
          </rPr>
          <t>Source: 3</t>
        </r>
      </text>
    </comment>
    <comment ref="AI20" authorId="0">
      <text>
        <r>
          <rPr>
            <b/>
            <sz val="8"/>
            <rFont val="Tahoma"/>
            <family val="0"/>
          </rPr>
          <t>Source: 3</t>
        </r>
      </text>
    </comment>
    <comment ref="AM20" authorId="0">
      <text>
        <r>
          <rPr>
            <b/>
            <sz val="8"/>
            <rFont val="Tahoma"/>
            <family val="0"/>
          </rPr>
          <t>Source: 3</t>
        </r>
      </text>
    </comment>
    <comment ref="AN20" authorId="0">
      <text>
        <r>
          <rPr>
            <b/>
            <sz val="8"/>
            <rFont val="Tahoma"/>
            <family val="0"/>
          </rPr>
          <t>Source: 3</t>
        </r>
      </text>
    </comment>
    <comment ref="AO20" authorId="0">
      <text>
        <r>
          <rPr>
            <b/>
            <sz val="8"/>
            <rFont val="Tahoma"/>
            <family val="0"/>
          </rPr>
          <t>Source: 3</t>
        </r>
      </text>
    </comment>
    <comment ref="AF22" authorId="0">
      <text>
        <r>
          <rPr>
            <b/>
            <sz val="8"/>
            <rFont val="Tahoma"/>
            <family val="0"/>
          </rPr>
          <t>Source: 3</t>
        </r>
      </text>
    </comment>
    <comment ref="AI22" authorId="0">
      <text>
        <r>
          <rPr>
            <b/>
            <sz val="8"/>
            <rFont val="Tahoma"/>
            <family val="0"/>
          </rPr>
          <t>Source: 3</t>
        </r>
      </text>
    </comment>
    <comment ref="AM22" authorId="0">
      <text>
        <r>
          <rPr>
            <b/>
            <sz val="8"/>
            <rFont val="Tahoma"/>
            <family val="0"/>
          </rPr>
          <t>Source: 3</t>
        </r>
      </text>
    </comment>
    <comment ref="AN22" authorId="0">
      <text>
        <r>
          <rPr>
            <b/>
            <sz val="8"/>
            <rFont val="Tahoma"/>
            <family val="0"/>
          </rPr>
          <t>Source: 3</t>
        </r>
      </text>
    </comment>
    <comment ref="AO22" authorId="0">
      <text>
        <r>
          <rPr>
            <b/>
            <sz val="8"/>
            <rFont val="Tahoma"/>
            <family val="0"/>
          </rPr>
          <t>Source: 3</t>
        </r>
      </text>
    </comment>
    <comment ref="AF23" authorId="0">
      <text>
        <r>
          <rPr>
            <b/>
            <sz val="8"/>
            <rFont val="Tahoma"/>
            <family val="0"/>
          </rPr>
          <t>Source: 3</t>
        </r>
      </text>
    </comment>
    <comment ref="AI23" authorId="0">
      <text>
        <r>
          <rPr>
            <b/>
            <sz val="8"/>
            <rFont val="Tahoma"/>
            <family val="0"/>
          </rPr>
          <t>Source: 3</t>
        </r>
      </text>
    </comment>
    <comment ref="AM23" authorId="0">
      <text>
        <r>
          <rPr>
            <b/>
            <sz val="8"/>
            <rFont val="Tahoma"/>
            <family val="0"/>
          </rPr>
          <t>Source: 3</t>
        </r>
      </text>
    </comment>
    <comment ref="AN23" authorId="0">
      <text>
        <r>
          <rPr>
            <b/>
            <sz val="8"/>
            <rFont val="Tahoma"/>
            <family val="0"/>
          </rPr>
          <t>Source: 3</t>
        </r>
      </text>
    </comment>
    <comment ref="AO23" authorId="0">
      <text>
        <r>
          <rPr>
            <b/>
            <sz val="8"/>
            <rFont val="Tahoma"/>
            <family val="0"/>
          </rPr>
          <t>Source: 3</t>
        </r>
      </text>
    </comment>
    <comment ref="AF24" authorId="0">
      <text>
        <r>
          <rPr>
            <b/>
            <sz val="8"/>
            <rFont val="Tahoma"/>
            <family val="0"/>
          </rPr>
          <t>Source: 3</t>
        </r>
      </text>
    </comment>
    <comment ref="AI24" authorId="0">
      <text>
        <r>
          <rPr>
            <b/>
            <sz val="8"/>
            <rFont val="Tahoma"/>
            <family val="0"/>
          </rPr>
          <t>Source: 3</t>
        </r>
      </text>
    </comment>
    <comment ref="AM24" authorId="0">
      <text>
        <r>
          <rPr>
            <b/>
            <sz val="8"/>
            <rFont val="Tahoma"/>
            <family val="0"/>
          </rPr>
          <t>Source: 3</t>
        </r>
      </text>
    </comment>
    <comment ref="AN24" authorId="0">
      <text>
        <r>
          <rPr>
            <b/>
            <sz val="8"/>
            <rFont val="Tahoma"/>
            <family val="0"/>
          </rPr>
          <t>Source: 3</t>
        </r>
      </text>
    </comment>
    <comment ref="AO24" authorId="0">
      <text>
        <r>
          <rPr>
            <b/>
            <sz val="8"/>
            <rFont val="Tahoma"/>
            <family val="0"/>
          </rPr>
          <t>Source: 3</t>
        </r>
      </text>
    </comment>
    <comment ref="AF25" authorId="0">
      <text>
        <r>
          <rPr>
            <b/>
            <sz val="8"/>
            <rFont val="Tahoma"/>
            <family val="0"/>
          </rPr>
          <t>Source: 3</t>
        </r>
      </text>
    </comment>
    <comment ref="AI25" authorId="0">
      <text>
        <r>
          <rPr>
            <b/>
            <sz val="8"/>
            <rFont val="Tahoma"/>
            <family val="0"/>
          </rPr>
          <t>Source: 3</t>
        </r>
      </text>
    </comment>
    <comment ref="AM25" authorId="0">
      <text>
        <r>
          <rPr>
            <b/>
            <sz val="8"/>
            <rFont val="Tahoma"/>
            <family val="0"/>
          </rPr>
          <t>Source: 3</t>
        </r>
      </text>
    </comment>
    <comment ref="AN25" authorId="0">
      <text>
        <r>
          <rPr>
            <b/>
            <sz val="8"/>
            <rFont val="Tahoma"/>
            <family val="0"/>
          </rPr>
          <t>Source: 3</t>
        </r>
      </text>
    </comment>
    <comment ref="AO25" authorId="0">
      <text>
        <r>
          <rPr>
            <b/>
            <sz val="8"/>
            <rFont val="Tahoma"/>
            <family val="0"/>
          </rPr>
          <t>Source: 3</t>
        </r>
      </text>
    </comment>
    <comment ref="AM26" authorId="0">
      <text>
        <r>
          <rPr>
            <b/>
            <sz val="8"/>
            <rFont val="Tahoma"/>
            <family val="0"/>
          </rPr>
          <t>Source: 3</t>
        </r>
      </text>
    </comment>
    <comment ref="AN26" authorId="0">
      <text>
        <r>
          <rPr>
            <b/>
            <sz val="8"/>
            <rFont val="Tahoma"/>
            <family val="0"/>
          </rPr>
          <t>Source: 3</t>
        </r>
      </text>
    </comment>
    <comment ref="AO26" authorId="0">
      <text>
        <r>
          <rPr>
            <b/>
            <sz val="8"/>
            <rFont val="Tahoma"/>
            <family val="0"/>
          </rPr>
          <t>Source: 3</t>
        </r>
      </text>
    </comment>
    <comment ref="AF26" authorId="0">
      <text>
        <r>
          <rPr>
            <b/>
            <sz val="8"/>
            <rFont val="Tahoma"/>
            <family val="0"/>
          </rPr>
          <t>Source: 3</t>
        </r>
      </text>
    </comment>
    <comment ref="AI26" authorId="0">
      <text>
        <r>
          <rPr>
            <b/>
            <sz val="8"/>
            <rFont val="Tahoma"/>
            <family val="0"/>
          </rPr>
          <t>Source: 3</t>
        </r>
      </text>
    </comment>
    <comment ref="AF27" authorId="0">
      <text>
        <r>
          <rPr>
            <b/>
            <sz val="8"/>
            <rFont val="Tahoma"/>
            <family val="0"/>
          </rPr>
          <t>Source: 3</t>
        </r>
      </text>
    </comment>
    <comment ref="AI27" authorId="0">
      <text>
        <r>
          <rPr>
            <b/>
            <sz val="8"/>
            <rFont val="Tahoma"/>
            <family val="0"/>
          </rPr>
          <t>Source: 3</t>
        </r>
      </text>
    </comment>
    <comment ref="AM27" authorId="0">
      <text>
        <r>
          <rPr>
            <b/>
            <sz val="8"/>
            <rFont val="Tahoma"/>
            <family val="0"/>
          </rPr>
          <t>Source: 3</t>
        </r>
      </text>
    </comment>
    <comment ref="AN27" authorId="0">
      <text>
        <r>
          <rPr>
            <b/>
            <sz val="8"/>
            <rFont val="Tahoma"/>
            <family val="0"/>
          </rPr>
          <t>Source: 3</t>
        </r>
      </text>
    </comment>
    <comment ref="AO27" authorId="0">
      <text>
        <r>
          <rPr>
            <b/>
            <sz val="8"/>
            <rFont val="Tahoma"/>
            <family val="0"/>
          </rPr>
          <t>Source: 3</t>
        </r>
      </text>
    </comment>
    <comment ref="AF29" authorId="0">
      <text>
        <r>
          <rPr>
            <b/>
            <sz val="8"/>
            <rFont val="Tahoma"/>
            <family val="0"/>
          </rPr>
          <t>Source: 3</t>
        </r>
      </text>
    </comment>
    <comment ref="AI29" authorId="0">
      <text>
        <r>
          <rPr>
            <b/>
            <sz val="8"/>
            <rFont val="Tahoma"/>
            <family val="0"/>
          </rPr>
          <t>Source: 3</t>
        </r>
      </text>
    </comment>
    <comment ref="AM29" authorId="0">
      <text>
        <r>
          <rPr>
            <b/>
            <sz val="8"/>
            <rFont val="Tahoma"/>
            <family val="0"/>
          </rPr>
          <t>Source: 3</t>
        </r>
      </text>
    </comment>
    <comment ref="AN29" authorId="0">
      <text>
        <r>
          <rPr>
            <b/>
            <sz val="8"/>
            <rFont val="Tahoma"/>
            <family val="0"/>
          </rPr>
          <t>Source: 3</t>
        </r>
      </text>
    </comment>
    <comment ref="AO29" authorId="0">
      <text>
        <r>
          <rPr>
            <b/>
            <sz val="8"/>
            <rFont val="Tahoma"/>
            <family val="0"/>
          </rPr>
          <t>Source: 3</t>
        </r>
      </text>
    </comment>
    <comment ref="AF30" authorId="0">
      <text>
        <r>
          <rPr>
            <b/>
            <sz val="8"/>
            <rFont val="Tahoma"/>
            <family val="0"/>
          </rPr>
          <t>Source: 3</t>
        </r>
      </text>
    </comment>
    <comment ref="AI30" authorId="0">
      <text>
        <r>
          <rPr>
            <b/>
            <sz val="8"/>
            <rFont val="Tahoma"/>
            <family val="0"/>
          </rPr>
          <t>Source: 3</t>
        </r>
      </text>
    </comment>
    <comment ref="AM30" authorId="0">
      <text>
        <r>
          <rPr>
            <b/>
            <sz val="8"/>
            <rFont val="Tahoma"/>
            <family val="0"/>
          </rPr>
          <t>Source: 3</t>
        </r>
      </text>
    </comment>
    <comment ref="AN30" authorId="0">
      <text>
        <r>
          <rPr>
            <b/>
            <sz val="8"/>
            <rFont val="Tahoma"/>
            <family val="0"/>
          </rPr>
          <t>Source; 3</t>
        </r>
      </text>
    </comment>
    <comment ref="AO30" authorId="0">
      <text>
        <r>
          <rPr>
            <b/>
            <sz val="8"/>
            <rFont val="Tahoma"/>
            <family val="0"/>
          </rPr>
          <t>Source: 3</t>
        </r>
      </text>
    </comment>
    <comment ref="AF31" authorId="0">
      <text>
        <r>
          <rPr>
            <b/>
            <sz val="8"/>
            <rFont val="Tahoma"/>
            <family val="0"/>
          </rPr>
          <t>Source: 3</t>
        </r>
      </text>
    </comment>
    <comment ref="AI31" authorId="0">
      <text>
        <r>
          <rPr>
            <b/>
            <sz val="8"/>
            <rFont val="Tahoma"/>
            <family val="0"/>
          </rPr>
          <t>Source: 3</t>
        </r>
      </text>
    </comment>
    <comment ref="AM31" authorId="0">
      <text>
        <r>
          <rPr>
            <b/>
            <sz val="8"/>
            <rFont val="Tahoma"/>
            <family val="0"/>
          </rPr>
          <t>Source: 3</t>
        </r>
      </text>
    </comment>
    <comment ref="AN31" authorId="0">
      <text>
        <r>
          <rPr>
            <b/>
            <sz val="8"/>
            <rFont val="Tahoma"/>
            <family val="0"/>
          </rPr>
          <t>Source: 3</t>
        </r>
      </text>
    </comment>
    <comment ref="AO31" authorId="0">
      <text>
        <r>
          <rPr>
            <b/>
            <sz val="8"/>
            <rFont val="Tahoma"/>
            <family val="0"/>
          </rPr>
          <t>Source: 3</t>
        </r>
      </text>
    </comment>
    <comment ref="AF32" authorId="0">
      <text>
        <r>
          <rPr>
            <b/>
            <sz val="8"/>
            <rFont val="Tahoma"/>
            <family val="0"/>
          </rPr>
          <t>Source: 3</t>
        </r>
      </text>
    </comment>
    <comment ref="AI32" authorId="0">
      <text>
        <r>
          <rPr>
            <b/>
            <sz val="8"/>
            <rFont val="Tahoma"/>
            <family val="0"/>
          </rPr>
          <t>Source: 3</t>
        </r>
      </text>
    </comment>
    <comment ref="AM32" authorId="0">
      <text>
        <r>
          <rPr>
            <b/>
            <sz val="8"/>
            <rFont val="Tahoma"/>
            <family val="0"/>
          </rPr>
          <t>Source: 3</t>
        </r>
      </text>
    </comment>
    <comment ref="AN32" authorId="0">
      <text>
        <r>
          <rPr>
            <b/>
            <sz val="8"/>
            <rFont val="Tahoma"/>
            <family val="0"/>
          </rPr>
          <t>Source: 3</t>
        </r>
      </text>
    </comment>
    <comment ref="AO32" authorId="0">
      <text>
        <r>
          <rPr>
            <b/>
            <sz val="8"/>
            <rFont val="Tahoma"/>
            <family val="0"/>
          </rPr>
          <t>Source: 3</t>
        </r>
      </text>
    </comment>
    <comment ref="AF33" authorId="0">
      <text>
        <r>
          <rPr>
            <b/>
            <sz val="8"/>
            <rFont val="Tahoma"/>
            <family val="0"/>
          </rPr>
          <t>Source: 3</t>
        </r>
      </text>
    </comment>
    <comment ref="AI33" authorId="0">
      <text>
        <r>
          <rPr>
            <b/>
            <sz val="8"/>
            <rFont val="Tahoma"/>
            <family val="0"/>
          </rPr>
          <t>Source: 3</t>
        </r>
      </text>
    </comment>
    <comment ref="AM33" authorId="0">
      <text>
        <r>
          <rPr>
            <b/>
            <sz val="8"/>
            <rFont val="Tahoma"/>
            <family val="0"/>
          </rPr>
          <t>Source: 3</t>
        </r>
      </text>
    </comment>
    <comment ref="AN33" authorId="0">
      <text>
        <r>
          <rPr>
            <b/>
            <sz val="8"/>
            <rFont val="Tahoma"/>
            <family val="0"/>
          </rPr>
          <t>Source: 3</t>
        </r>
      </text>
    </comment>
    <comment ref="AO33" authorId="0">
      <text>
        <r>
          <rPr>
            <b/>
            <sz val="8"/>
            <rFont val="Tahoma"/>
            <family val="0"/>
          </rPr>
          <t>Source: 3</t>
        </r>
      </text>
    </comment>
    <comment ref="AF34" authorId="0">
      <text>
        <r>
          <rPr>
            <b/>
            <sz val="8"/>
            <rFont val="Tahoma"/>
            <family val="0"/>
          </rPr>
          <t>Source: 3</t>
        </r>
      </text>
    </comment>
    <comment ref="AI34" authorId="0">
      <text>
        <r>
          <rPr>
            <b/>
            <sz val="8"/>
            <rFont val="Tahoma"/>
            <family val="0"/>
          </rPr>
          <t>Source: 3</t>
        </r>
      </text>
    </comment>
    <comment ref="AM34" authorId="0">
      <text>
        <r>
          <rPr>
            <b/>
            <sz val="8"/>
            <rFont val="Tahoma"/>
            <family val="0"/>
          </rPr>
          <t>Source: 3</t>
        </r>
      </text>
    </comment>
    <comment ref="AN34" authorId="0">
      <text>
        <r>
          <rPr>
            <b/>
            <sz val="8"/>
            <rFont val="Tahoma"/>
            <family val="0"/>
          </rPr>
          <t>Source: 3</t>
        </r>
      </text>
    </comment>
    <comment ref="AO34" authorId="0">
      <text>
        <r>
          <rPr>
            <b/>
            <sz val="8"/>
            <rFont val="Tahoma"/>
            <family val="0"/>
          </rPr>
          <t>Source: 3</t>
        </r>
      </text>
    </comment>
    <comment ref="AF35" authorId="0">
      <text>
        <r>
          <rPr>
            <b/>
            <sz val="8"/>
            <rFont val="Tahoma"/>
            <family val="0"/>
          </rPr>
          <t>Source: 3</t>
        </r>
      </text>
    </comment>
    <comment ref="AI35" authorId="0">
      <text>
        <r>
          <rPr>
            <b/>
            <sz val="8"/>
            <rFont val="Tahoma"/>
            <family val="0"/>
          </rPr>
          <t>Source: 3</t>
        </r>
      </text>
    </comment>
    <comment ref="AM35" authorId="0">
      <text>
        <r>
          <rPr>
            <b/>
            <sz val="8"/>
            <rFont val="Tahoma"/>
            <family val="0"/>
          </rPr>
          <t>Source: 3</t>
        </r>
      </text>
    </comment>
    <comment ref="AN35" authorId="0">
      <text>
        <r>
          <rPr>
            <b/>
            <sz val="8"/>
            <rFont val="Tahoma"/>
            <family val="0"/>
          </rPr>
          <t>Source: 3</t>
        </r>
      </text>
    </comment>
    <comment ref="AO35" authorId="0">
      <text>
        <r>
          <rPr>
            <b/>
            <sz val="8"/>
            <rFont val="Tahoma"/>
            <family val="0"/>
          </rPr>
          <t>Source: 3</t>
        </r>
      </text>
    </comment>
    <comment ref="AF37" authorId="0">
      <text>
        <r>
          <rPr>
            <b/>
            <sz val="8"/>
            <rFont val="Tahoma"/>
            <family val="0"/>
          </rPr>
          <t>Source: 3</t>
        </r>
      </text>
    </comment>
    <comment ref="AI37" authorId="0">
      <text>
        <r>
          <rPr>
            <b/>
            <sz val="8"/>
            <rFont val="Tahoma"/>
            <family val="0"/>
          </rPr>
          <t>Source: 3</t>
        </r>
      </text>
    </comment>
    <comment ref="AM37" authorId="0">
      <text>
        <r>
          <rPr>
            <b/>
            <sz val="8"/>
            <rFont val="Tahoma"/>
            <family val="0"/>
          </rPr>
          <t>Source: 3</t>
        </r>
      </text>
    </comment>
    <comment ref="AN37" authorId="0">
      <text>
        <r>
          <rPr>
            <b/>
            <sz val="8"/>
            <rFont val="Tahoma"/>
            <family val="0"/>
          </rPr>
          <t>Source: 3</t>
        </r>
      </text>
    </comment>
    <comment ref="AO37" authorId="0">
      <text>
        <r>
          <rPr>
            <b/>
            <sz val="8"/>
            <rFont val="Tahoma"/>
            <family val="0"/>
          </rPr>
          <t>Source: 3</t>
        </r>
      </text>
    </comment>
    <comment ref="AF38" authorId="0">
      <text>
        <r>
          <rPr>
            <b/>
            <sz val="8"/>
            <rFont val="Tahoma"/>
            <family val="0"/>
          </rPr>
          <t>Source: 3</t>
        </r>
      </text>
    </comment>
    <comment ref="AI38" authorId="0">
      <text>
        <r>
          <rPr>
            <b/>
            <sz val="8"/>
            <rFont val="Tahoma"/>
            <family val="0"/>
          </rPr>
          <t>Source: 3</t>
        </r>
      </text>
    </comment>
    <comment ref="AM38" authorId="0">
      <text>
        <r>
          <rPr>
            <b/>
            <sz val="8"/>
            <rFont val="Tahoma"/>
            <family val="0"/>
          </rPr>
          <t>Source: 3</t>
        </r>
      </text>
    </comment>
    <comment ref="AN38" authorId="0">
      <text>
        <r>
          <rPr>
            <b/>
            <sz val="8"/>
            <rFont val="Tahoma"/>
            <family val="0"/>
          </rPr>
          <t>Source: 3</t>
        </r>
      </text>
    </comment>
    <comment ref="AO38" authorId="0">
      <text>
        <r>
          <rPr>
            <b/>
            <sz val="8"/>
            <rFont val="Tahoma"/>
            <family val="0"/>
          </rPr>
          <t>Source: 3</t>
        </r>
      </text>
    </comment>
    <comment ref="AF39" authorId="0">
      <text>
        <r>
          <rPr>
            <b/>
            <sz val="8"/>
            <rFont val="Tahoma"/>
            <family val="0"/>
          </rPr>
          <t>Source: 3</t>
        </r>
      </text>
    </comment>
    <comment ref="AI39" authorId="0">
      <text>
        <r>
          <rPr>
            <b/>
            <sz val="8"/>
            <rFont val="Tahoma"/>
            <family val="0"/>
          </rPr>
          <t>Source: 3</t>
        </r>
      </text>
    </comment>
    <comment ref="AM39" authorId="0">
      <text>
        <r>
          <rPr>
            <b/>
            <sz val="8"/>
            <rFont val="Tahoma"/>
            <family val="0"/>
          </rPr>
          <t>Source: 3</t>
        </r>
      </text>
    </comment>
    <comment ref="AN39" authorId="0">
      <text>
        <r>
          <rPr>
            <b/>
            <sz val="8"/>
            <rFont val="Tahoma"/>
            <family val="0"/>
          </rPr>
          <t>Source: 3</t>
        </r>
      </text>
    </comment>
    <comment ref="AO39" authorId="0">
      <text>
        <r>
          <rPr>
            <b/>
            <sz val="8"/>
            <rFont val="Tahoma"/>
            <family val="0"/>
          </rPr>
          <t>Source: 3</t>
        </r>
      </text>
    </comment>
    <comment ref="AF40" authorId="0">
      <text>
        <r>
          <rPr>
            <b/>
            <sz val="8"/>
            <rFont val="Tahoma"/>
            <family val="0"/>
          </rPr>
          <t>Source: 3</t>
        </r>
      </text>
    </comment>
    <comment ref="AI40" authorId="0">
      <text>
        <r>
          <rPr>
            <b/>
            <sz val="8"/>
            <rFont val="Tahoma"/>
            <family val="0"/>
          </rPr>
          <t>Source: 3</t>
        </r>
      </text>
    </comment>
    <comment ref="AM40" authorId="0">
      <text>
        <r>
          <rPr>
            <b/>
            <sz val="8"/>
            <rFont val="Tahoma"/>
            <family val="0"/>
          </rPr>
          <t>Source: 3</t>
        </r>
      </text>
    </comment>
    <comment ref="AN40" authorId="0">
      <text>
        <r>
          <rPr>
            <b/>
            <sz val="8"/>
            <rFont val="Tahoma"/>
            <family val="0"/>
          </rPr>
          <t>Source: 3</t>
        </r>
      </text>
    </comment>
    <comment ref="AO40" authorId="0">
      <text>
        <r>
          <rPr>
            <b/>
            <sz val="8"/>
            <rFont val="Tahoma"/>
            <family val="0"/>
          </rPr>
          <t>Source: 3</t>
        </r>
      </text>
    </comment>
    <comment ref="AF41" authorId="0">
      <text>
        <r>
          <rPr>
            <b/>
            <sz val="8"/>
            <rFont val="Tahoma"/>
            <family val="0"/>
          </rPr>
          <t>Source: 3</t>
        </r>
      </text>
    </comment>
    <comment ref="AI41" authorId="0">
      <text>
        <r>
          <rPr>
            <b/>
            <sz val="8"/>
            <rFont val="Tahoma"/>
            <family val="0"/>
          </rPr>
          <t>Source: 3</t>
        </r>
      </text>
    </comment>
    <comment ref="AM41" authorId="0">
      <text>
        <r>
          <rPr>
            <b/>
            <sz val="8"/>
            <rFont val="Tahoma"/>
            <family val="0"/>
          </rPr>
          <t>Source: 3</t>
        </r>
      </text>
    </comment>
    <comment ref="AN41" authorId="0">
      <text>
        <r>
          <rPr>
            <b/>
            <sz val="8"/>
            <rFont val="Tahoma"/>
            <family val="0"/>
          </rPr>
          <t>Source: 3</t>
        </r>
      </text>
    </comment>
    <comment ref="AO41" authorId="0">
      <text>
        <r>
          <rPr>
            <b/>
            <sz val="8"/>
            <rFont val="Tahoma"/>
            <family val="0"/>
          </rPr>
          <t>Source: 3</t>
        </r>
      </text>
    </comment>
    <comment ref="AF42" authorId="0">
      <text>
        <r>
          <rPr>
            <b/>
            <sz val="8"/>
            <rFont val="Tahoma"/>
            <family val="0"/>
          </rPr>
          <t>Source: 3</t>
        </r>
      </text>
    </comment>
    <comment ref="AI42" authorId="0">
      <text>
        <r>
          <rPr>
            <b/>
            <sz val="8"/>
            <rFont val="Tahoma"/>
            <family val="0"/>
          </rPr>
          <t>Source: 3</t>
        </r>
      </text>
    </comment>
    <comment ref="AM42" authorId="0">
      <text>
        <r>
          <rPr>
            <b/>
            <sz val="8"/>
            <rFont val="Tahoma"/>
            <family val="0"/>
          </rPr>
          <t>Source: 3</t>
        </r>
      </text>
    </comment>
    <comment ref="AN42" authorId="0">
      <text>
        <r>
          <rPr>
            <b/>
            <sz val="8"/>
            <rFont val="Tahoma"/>
            <family val="0"/>
          </rPr>
          <t>Source: 3</t>
        </r>
      </text>
    </comment>
    <comment ref="AO42" authorId="0">
      <text>
        <r>
          <rPr>
            <b/>
            <sz val="8"/>
            <rFont val="Tahoma"/>
            <family val="0"/>
          </rPr>
          <t>Source: 3</t>
        </r>
      </text>
    </comment>
    <comment ref="AF43" authorId="0">
      <text>
        <r>
          <rPr>
            <b/>
            <sz val="8"/>
            <rFont val="Tahoma"/>
            <family val="0"/>
          </rPr>
          <t>Source: 3</t>
        </r>
      </text>
    </comment>
    <comment ref="AI43" authorId="0">
      <text>
        <r>
          <rPr>
            <b/>
            <sz val="8"/>
            <rFont val="Tahoma"/>
            <family val="0"/>
          </rPr>
          <t>Source: 3</t>
        </r>
      </text>
    </comment>
    <comment ref="AM43" authorId="0">
      <text>
        <r>
          <rPr>
            <b/>
            <sz val="8"/>
            <rFont val="Tahoma"/>
            <family val="0"/>
          </rPr>
          <t>Source: 3</t>
        </r>
      </text>
    </comment>
    <comment ref="AN43" authorId="0">
      <text>
        <r>
          <rPr>
            <b/>
            <sz val="8"/>
            <rFont val="Tahoma"/>
            <family val="0"/>
          </rPr>
          <t>Source: 3</t>
        </r>
      </text>
    </comment>
    <comment ref="AO43" authorId="0">
      <text>
        <r>
          <rPr>
            <b/>
            <sz val="8"/>
            <rFont val="Tahoma"/>
            <family val="0"/>
          </rPr>
          <t>Source: 3</t>
        </r>
      </text>
    </comment>
    <comment ref="AF44" authorId="0">
      <text>
        <r>
          <rPr>
            <b/>
            <sz val="8"/>
            <rFont val="Tahoma"/>
            <family val="0"/>
          </rPr>
          <t>Source: 3</t>
        </r>
      </text>
    </comment>
    <comment ref="AI44" authorId="0">
      <text>
        <r>
          <rPr>
            <b/>
            <sz val="8"/>
            <rFont val="Tahoma"/>
            <family val="0"/>
          </rPr>
          <t>Source: 3</t>
        </r>
      </text>
    </comment>
    <comment ref="AM44" authorId="0">
      <text>
        <r>
          <rPr>
            <b/>
            <sz val="8"/>
            <rFont val="Tahoma"/>
            <family val="0"/>
          </rPr>
          <t>Source: 3</t>
        </r>
      </text>
    </comment>
    <comment ref="AN44" authorId="0">
      <text>
        <r>
          <rPr>
            <b/>
            <sz val="8"/>
            <rFont val="Tahoma"/>
            <family val="0"/>
          </rPr>
          <t>Source: 3</t>
        </r>
      </text>
    </comment>
    <comment ref="AO44" authorId="0">
      <text>
        <r>
          <rPr>
            <b/>
            <sz val="8"/>
            <rFont val="Tahoma"/>
            <family val="0"/>
          </rPr>
          <t>Source: 3</t>
        </r>
      </text>
    </comment>
    <comment ref="AF45" authorId="0">
      <text>
        <r>
          <rPr>
            <b/>
            <sz val="8"/>
            <rFont val="Tahoma"/>
            <family val="0"/>
          </rPr>
          <t>Source: 3</t>
        </r>
      </text>
    </comment>
    <comment ref="AF46" authorId="0">
      <text>
        <r>
          <rPr>
            <b/>
            <sz val="8"/>
            <rFont val="Tahoma"/>
            <family val="0"/>
          </rPr>
          <t>Source: 3</t>
        </r>
      </text>
    </comment>
    <comment ref="AI45" authorId="0">
      <text>
        <r>
          <rPr>
            <b/>
            <sz val="8"/>
            <rFont val="Tahoma"/>
            <family val="0"/>
          </rPr>
          <t>Source: 3</t>
        </r>
      </text>
    </comment>
    <comment ref="AI46" authorId="0">
      <text>
        <r>
          <rPr>
            <b/>
            <sz val="8"/>
            <rFont val="Tahoma"/>
            <family val="0"/>
          </rPr>
          <t>Source: 3</t>
        </r>
      </text>
    </comment>
    <comment ref="AM45" authorId="0">
      <text>
        <r>
          <rPr>
            <b/>
            <sz val="8"/>
            <rFont val="Tahoma"/>
            <family val="0"/>
          </rPr>
          <t>Source: 3</t>
        </r>
      </text>
    </comment>
    <comment ref="AM46" authorId="0">
      <text>
        <r>
          <rPr>
            <b/>
            <sz val="8"/>
            <rFont val="Tahoma"/>
            <family val="0"/>
          </rPr>
          <t>Source: 3</t>
        </r>
      </text>
    </comment>
    <comment ref="AN45" authorId="0">
      <text>
        <r>
          <rPr>
            <b/>
            <sz val="8"/>
            <rFont val="Tahoma"/>
            <family val="0"/>
          </rPr>
          <t>Source: 3</t>
        </r>
      </text>
    </comment>
    <comment ref="AN46" authorId="0">
      <text>
        <r>
          <rPr>
            <b/>
            <sz val="8"/>
            <rFont val="Tahoma"/>
            <family val="0"/>
          </rPr>
          <t>Source: 3</t>
        </r>
      </text>
    </comment>
    <comment ref="AO45" authorId="0">
      <text>
        <r>
          <rPr>
            <b/>
            <sz val="8"/>
            <rFont val="Tahoma"/>
            <family val="0"/>
          </rPr>
          <t>Source: 3</t>
        </r>
      </text>
    </comment>
    <comment ref="AO46" authorId="0">
      <text>
        <r>
          <rPr>
            <b/>
            <sz val="8"/>
            <rFont val="Tahoma"/>
            <family val="0"/>
          </rPr>
          <t>Source: 3</t>
        </r>
      </text>
    </comment>
    <comment ref="AF47" authorId="0">
      <text>
        <r>
          <rPr>
            <b/>
            <sz val="8"/>
            <rFont val="Tahoma"/>
            <family val="0"/>
          </rPr>
          <t>Source: 3</t>
        </r>
      </text>
    </comment>
    <comment ref="AF48" authorId="0">
      <text>
        <r>
          <rPr>
            <b/>
            <sz val="8"/>
            <rFont val="Tahoma"/>
            <family val="0"/>
          </rPr>
          <t>Source: 3</t>
        </r>
      </text>
    </comment>
    <comment ref="AF6" authorId="0">
      <text>
        <r>
          <rPr>
            <b/>
            <sz val="8"/>
            <rFont val="Tahoma"/>
            <family val="0"/>
          </rPr>
          <t>Source: 3
(Source 4: 1261.8)</t>
        </r>
      </text>
    </comment>
    <comment ref="AI6" authorId="0">
      <text>
        <r>
          <rPr>
            <b/>
            <sz val="8"/>
            <rFont val="Tahoma"/>
            <family val="0"/>
          </rPr>
          <t>Source: 3</t>
        </r>
      </text>
    </comment>
    <comment ref="AI7" authorId="0">
      <text>
        <r>
          <rPr>
            <b/>
            <sz val="8"/>
            <rFont val="Tahoma"/>
            <family val="0"/>
          </rPr>
          <t>Source: 3</t>
        </r>
      </text>
    </comment>
    <comment ref="AF7" authorId="0">
      <text>
        <r>
          <rPr>
            <b/>
            <sz val="8"/>
            <rFont val="Tahoma"/>
            <family val="0"/>
          </rPr>
          <t>Source:  3
(Source 4: 1694)</t>
        </r>
      </text>
    </comment>
    <comment ref="AF8" authorId="0">
      <text>
        <r>
          <rPr>
            <b/>
            <sz val="8"/>
            <rFont val="Tahoma"/>
            <family val="0"/>
          </rPr>
          <t>Source: 3
(Source 4: 1945)</t>
        </r>
      </text>
    </comment>
    <comment ref="AI8" authorId="0">
      <text>
        <r>
          <rPr>
            <b/>
            <sz val="8"/>
            <rFont val="Tahoma"/>
            <family val="0"/>
          </rPr>
          <t>Source: 3</t>
        </r>
      </text>
    </comment>
    <comment ref="AF9" authorId="0">
      <text>
        <r>
          <rPr>
            <b/>
            <sz val="8"/>
            <rFont val="Tahoma"/>
            <family val="0"/>
          </rPr>
          <t>Source: 3
(Source: 4 1882.2)</t>
        </r>
      </text>
    </comment>
    <comment ref="AI10" authorId="0">
      <text>
        <r>
          <rPr>
            <b/>
            <sz val="8"/>
            <rFont val="Tahoma"/>
            <family val="0"/>
          </rPr>
          <t>Source: 3</t>
        </r>
      </text>
    </comment>
    <comment ref="AF10" authorId="0">
      <text>
        <r>
          <rPr>
            <b/>
            <sz val="8"/>
            <rFont val="Tahoma"/>
            <family val="0"/>
          </rPr>
          <t xml:space="preserve">Source: 3
(Source 4: 79) </t>
        </r>
      </text>
    </comment>
    <comment ref="AH39" authorId="0">
      <text>
        <r>
          <rPr>
            <b/>
            <sz val="8"/>
            <rFont val="Tahoma"/>
            <family val="0"/>
          </rPr>
          <t>Source: 4
Page 4-3
"committed"</t>
        </r>
      </text>
    </comment>
    <comment ref="AH41" authorId="0">
      <text>
        <r>
          <rPr>
            <b/>
            <sz val="8"/>
            <rFont val="Tahoma"/>
            <family val="0"/>
          </rPr>
          <t>Source: 4
Page 4-3</t>
        </r>
      </text>
    </comment>
    <comment ref="AG41" authorId="0">
      <text>
        <r>
          <rPr>
            <b/>
            <sz val="8"/>
            <rFont val="Tahoma"/>
            <family val="0"/>
          </rPr>
          <t>calculation</t>
        </r>
      </text>
    </comment>
    <comment ref="AH43" authorId="0">
      <text>
        <r>
          <rPr>
            <b/>
            <sz val="8"/>
            <rFont val="Tahoma"/>
            <family val="0"/>
          </rPr>
          <t>Source: 4
Page 4-5</t>
        </r>
      </text>
    </comment>
    <comment ref="AG43" authorId="0">
      <text>
        <r>
          <rPr>
            <b/>
            <sz val="8"/>
            <rFont val="Tahoma"/>
            <family val="0"/>
          </rPr>
          <t>calculation</t>
        </r>
      </text>
    </comment>
    <comment ref="AG22" authorId="0">
      <text>
        <r>
          <rPr>
            <b/>
            <sz val="8"/>
            <rFont val="Tahoma"/>
            <family val="0"/>
          </rPr>
          <t>calculation</t>
        </r>
      </text>
    </comment>
    <comment ref="AH22" authorId="0">
      <text>
        <r>
          <rPr>
            <b/>
            <sz val="8"/>
            <rFont val="Tahoma"/>
            <family val="0"/>
          </rPr>
          <t>Source: 4
Table TA 3.1
(assume all LSPC incentive dollars allocated to this program element)</t>
        </r>
      </text>
    </comment>
    <comment ref="AG25" authorId="0">
      <text>
        <r>
          <rPr>
            <b/>
            <sz val="8"/>
            <rFont val="Tahoma"/>
            <family val="0"/>
          </rPr>
          <t>calculation</t>
        </r>
      </text>
    </comment>
    <comment ref="AH25" authorId="0">
      <text>
        <r>
          <rPr>
            <b/>
            <sz val="8"/>
            <rFont val="Tahoma"/>
            <family val="0"/>
          </rPr>
          <t>Source: 4
Table TA 3.1
(assume all SSPC incentive dollars go to this program element)</t>
        </r>
      </text>
    </comment>
    <comment ref="AG9" authorId="0">
      <text>
        <r>
          <rPr>
            <b/>
            <sz val="8"/>
            <rFont val="Tahoma"/>
            <family val="0"/>
          </rPr>
          <t>For PG&amp;E Residential programs that offered incentives, on average 30% of program cost was spent on administration.</t>
        </r>
      </text>
    </comment>
    <comment ref="AG10" authorId="0">
      <text>
        <r>
          <rPr>
            <b/>
            <sz val="8"/>
            <rFont val="Tahoma"/>
            <family val="0"/>
          </rPr>
          <t>For PG&amp;E Residential programs that offered incentives, on average 30% of program cost was spent on administration.</t>
        </r>
      </text>
    </comment>
    <comment ref="AH10" authorId="0">
      <text>
        <r>
          <rPr>
            <b/>
            <sz val="8"/>
            <rFont val="Tahoma"/>
            <family val="0"/>
          </rPr>
          <t>For PG&amp;E Residential programs that offered incentives, on average 70% of program cost was spent on incentives.</t>
        </r>
      </text>
    </comment>
    <comment ref="AH9" authorId="0">
      <text>
        <r>
          <rPr>
            <b/>
            <sz val="8"/>
            <rFont val="Tahoma"/>
            <family val="0"/>
          </rPr>
          <t>For PG&amp;E Residential programs that offered incentives, on average 70% of program cost was spent on incentives.</t>
        </r>
      </text>
    </comment>
  </commentList>
</comments>
</file>

<file path=xl/comments5.xml><?xml version="1.0" encoding="utf-8"?>
<comments xmlns="http://schemas.openxmlformats.org/spreadsheetml/2006/main">
  <authors>
    <author>Omar Siddiqui</author>
  </authors>
  <commentList>
    <comment ref="AF6" authorId="0">
      <text>
        <r>
          <rPr>
            <b/>
            <sz val="8"/>
            <rFont val="Tahoma"/>
            <family val="0"/>
          </rPr>
          <t>Source 5: 2.12</t>
        </r>
      </text>
    </comment>
    <comment ref="AI6" authorId="0">
      <text>
        <r>
          <rPr>
            <b/>
            <sz val="8"/>
            <rFont val="Tahoma"/>
            <family val="0"/>
          </rPr>
          <t>Source 5: 2.12</t>
        </r>
      </text>
    </comment>
    <comment ref="AF7" authorId="0">
      <text>
        <r>
          <rPr>
            <b/>
            <sz val="8"/>
            <rFont val="Tahoma"/>
            <family val="0"/>
          </rPr>
          <t>Source: 5
2.12</t>
        </r>
      </text>
    </comment>
    <comment ref="AI7" authorId="0">
      <text>
        <r>
          <rPr>
            <b/>
            <sz val="8"/>
            <rFont val="Tahoma"/>
            <family val="0"/>
          </rPr>
          <t>Source: 5
2.12</t>
        </r>
      </text>
    </comment>
    <comment ref="AM7" authorId="0">
      <text>
        <r>
          <rPr>
            <b/>
            <sz val="8"/>
            <rFont val="Tahoma"/>
            <family val="0"/>
          </rPr>
          <t>Source: 5
2.13
 "energy savings"</t>
        </r>
      </text>
    </comment>
    <comment ref="AN7" authorId="0">
      <text>
        <r>
          <rPr>
            <b/>
            <sz val="8"/>
            <rFont val="Tahoma"/>
            <family val="0"/>
          </rPr>
          <t>Source: 5
2.13
"demand reduction"</t>
        </r>
      </text>
    </comment>
    <comment ref="AM8" authorId="0">
      <text>
        <r>
          <rPr>
            <b/>
            <sz val="8"/>
            <rFont val="Tahoma"/>
            <family val="0"/>
          </rPr>
          <t>Source: 5
2.4
"net annualized eng. savings"</t>
        </r>
      </text>
    </comment>
    <comment ref="AN8" authorId="0">
      <text>
        <r>
          <rPr>
            <b/>
            <sz val="8"/>
            <rFont val="Tahoma"/>
            <family val="0"/>
          </rPr>
          <t>Source: 5
2.4
"peak demand reduction"</t>
        </r>
      </text>
    </comment>
    <comment ref="AM9" authorId="0">
      <text>
        <r>
          <rPr>
            <b/>
            <sz val="8"/>
            <rFont val="Tahoma"/>
            <family val="0"/>
          </rPr>
          <t>Source: 5
2.4
"net annualized eng. savings"</t>
        </r>
      </text>
    </comment>
    <comment ref="AN9" authorId="0">
      <text>
        <r>
          <rPr>
            <b/>
            <sz val="8"/>
            <rFont val="Tahoma"/>
            <family val="0"/>
          </rPr>
          <t>Source: 5
2.4
"peak demand reduction"</t>
        </r>
      </text>
    </comment>
    <comment ref="AF8" authorId="0">
      <text>
        <r>
          <rPr>
            <b/>
            <sz val="8"/>
            <rFont val="Tahoma"/>
            <family val="0"/>
          </rPr>
          <t>Source: 5
2.12 (combined SF &amp; MF)</t>
        </r>
      </text>
    </comment>
    <comment ref="AI8" authorId="0">
      <text>
        <r>
          <rPr>
            <b/>
            <sz val="8"/>
            <rFont val="Tahoma"/>
            <family val="0"/>
          </rPr>
          <t>Source: 5
2.12 (combined SF &amp; MF)</t>
        </r>
      </text>
    </comment>
    <comment ref="AM10" authorId="0">
      <text>
        <r>
          <rPr>
            <b/>
            <sz val="8"/>
            <rFont val="Tahoma"/>
            <family val="0"/>
          </rPr>
          <t>Source: 5
2.5
"annual energy savings"</t>
        </r>
      </text>
    </comment>
    <comment ref="AN10" authorId="0">
      <text>
        <r>
          <rPr>
            <b/>
            <sz val="8"/>
            <rFont val="Tahoma"/>
            <family val="0"/>
          </rPr>
          <t>Source: 5
2.5
"peak demand reduction"</t>
        </r>
      </text>
    </comment>
    <comment ref="AM11" authorId="0">
      <text>
        <r>
          <rPr>
            <b/>
            <sz val="8"/>
            <rFont val="Tahoma"/>
            <family val="0"/>
          </rPr>
          <t>Source: 5
2.6
"annualized energy savings"</t>
        </r>
      </text>
    </comment>
    <comment ref="AN11" authorId="0">
      <text>
        <r>
          <rPr>
            <b/>
            <sz val="8"/>
            <rFont val="Tahoma"/>
            <family val="0"/>
          </rPr>
          <t>Source: 5
2.6
"peak demand reduction"</t>
        </r>
      </text>
    </comment>
    <comment ref="AM14" authorId="0">
      <text>
        <r>
          <rPr>
            <b/>
            <sz val="8"/>
            <rFont val="Tahoma"/>
            <family val="0"/>
          </rPr>
          <t>Source: 5
2.9</t>
        </r>
      </text>
    </comment>
    <comment ref="AN14" authorId="0">
      <text>
        <r>
          <rPr>
            <b/>
            <sz val="8"/>
            <rFont val="Tahoma"/>
            <family val="0"/>
          </rPr>
          <t>Source: 5
2.9</t>
        </r>
      </text>
    </comment>
    <comment ref="AM33" authorId="0">
      <text>
        <r>
          <rPr>
            <b/>
            <sz val="8"/>
            <rFont val="Tahoma"/>
            <family val="0"/>
          </rPr>
          <t>Source: 5
4.2
"annualized energy savings"</t>
        </r>
      </text>
    </comment>
    <comment ref="AN33" authorId="0">
      <text>
        <r>
          <rPr>
            <b/>
            <sz val="8"/>
            <rFont val="Tahoma"/>
            <family val="0"/>
          </rPr>
          <t>Source: 5
4.2
"demand reduction"</t>
        </r>
      </text>
    </comment>
    <comment ref="AM34" authorId="0">
      <text>
        <r>
          <rPr>
            <b/>
            <sz val="8"/>
            <rFont val="Tahoma"/>
            <family val="0"/>
          </rPr>
          <t>Source: 5
4.3
"net annualized energy savings"</t>
        </r>
      </text>
    </comment>
    <comment ref="AN34" authorId="0">
      <text>
        <r>
          <rPr>
            <b/>
            <sz val="8"/>
            <rFont val="Tahoma"/>
            <family val="0"/>
          </rPr>
          <t>Source: 5
4.3
"net peak demand reduction"</t>
        </r>
      </text>
    </comment>
    <comment ref="AM38" authorId="0">
      <text>
        <r>
          <rPr>
            <b/>
            <sz val="8"/>
            <rFont val="Tahoma"/>
            <family val="0"/>
          </rPr>
          <t>Source: 5
Page 4.5
(677 MWh from installation of TXV units; 58 MWh from 21 Energy Star Homes)</t>
        </r>
      </text>
    </comment>
    <comment ref="AN38" authorId="0">
      <text>
        <r>
          <rPr>
            <b/>
            <sz val="8"/>
            <rFont val="Tahoma"/>
            <family val="0"/>
          </rPr>
          <t>Source: 5
Page 4.5
(0.8 MW from installation of TXV units; 0.2 MW from 21 Energy Star Homes)</t>
        </r>
      </text>
    </comment>
    <comment ref="AM24" authorId="0">
      <text>
        <r>
          <rPr>
            <b/>
            <sz val="8"/>
            <rFont val="Tahoma"/>
            <family val="0"/>
          </rPr>
          <t>Source: 5
"annualized energy savings"</t>
        </r>
      </text>
    </comment>
    <comment ref="AN24" authorId="0">
      <text>
        <r>
          <rPr>
            <b/>
            <sz val="8"/>
            <rFont val="Tahoma"/>
            <family val="0"/>
          </rPr>
          <t>Source: 5
"demand reduction"</t>
        </r>
      </text>
    </comment>
    <comment ref="AM25" authorId="0">
      <text>
        <r>
          <rPr>
            <b/>
            <sz val="8"/>
            <rFont val="Tahoma"/>
            <family val="0"/>
          </rPr>
          <t>Source: 5
"annualized energy savings"</t>
        </r>
      </text>
    </comment>
    <comment ref="AN25" authorId="0">
      <text>
        <r>
          <rPr>
            <b/>
            <sz val="8"/>
            <rFont val="Tahoma"/>
            <family val="0"/>
          </rPr>
          <t>Source: 5
"demand reduction"</t>
        </r>
      </text>
    </comment>
    <comment ref="AF34" authorId="0">
      <text>
        <r>
          <rPr>
            <b/>
            <sz val="8"/>
            <rFont val="Tahoma"/>
            <family val="0"/>
          </rPr>
          <t>Source: 5
Table TA 8.2</t>
        </r>
      </text>
    </comment>
    <comment ref="AI18" authorId="0">
      <text>
        <r>
          <rPr>
            <b/>
            <sz val="8"/>
            <rFont val="Tahoma"/>
            <family val="0"/>
          </rPr>
          <t>Source: 5
Table TA 8.2</t>
        </r>
      </text>
    </comment>
    <comment ref="AF18" authorId="0">
      <text>
        <r>
          <rPr>
            <b/>
            <sz val="8"/>
            <rFont val="Tahoma"/>
            <family val="0"/>
          </rPr>
          <t>Source: 5
Table TA 8.2</t>
        </r>
      </text>
    </comment>
    <comment ref="AI19" authorId="0">
      <text>
        <r>
          <rPr>
            <b/>
            <sz val="8"/>
            <rFont val="Tahoma"/>
            <family val="0"/>
          </rPr>
          <t>Source: 5
Table TA 8.2</t>
        </r>
      </text>
    </comment>
    <comment ref="AF19" authorId="0">
      <text>
        <r>
          <rPr>
            <b/>
            <sz val="8"/>
            <rFont val="Tahoma"/>
            <family val="0"/>
          </rPr>
          <t>Source: 5
Table TA 8.2</t>
        </r>
      </text>
    </comment>
    <comment ref="AI21" authorId="0">
      <text>
        <r>
          <rPr>
            <b/>
            <sz val="8"/>
            <rFont val="Tahoma"/>
            <family val="0"/>
          </rPr>
          <t>Source: 5
Table TA 8.2</t>
        </r>
      </text>
    </comment>
    <comment ref="AF21" authorId="0">
      <text>
        <r>
          <rPr>
            <b/>
            <sz val="8"/>
            <rFont val="Tahoma"/>
            <family val="0"/>
          </rPr>
          <t>Source: 5
Table TA 8.2</t>
        </r>
      </text>
    </comment>
    <comment ref="AI23" authorId="0">
      <text>
        <r>
          <rPr>
            <b/>
            <sz val="8"/>
            <rFont val="Tahoma"/>
            <family val="0"/>
          </rPr>
          <t>Source: 5
Table TA 8.2</t>
        </r>
      </text>
    </comment>
    <comment ref="AF23" authorId="0">
      <text>
        <r>
          <rPr>
            <b/>
            <sz val="8"/>
            <rFont val="Tahoma"/>
            <family val="0"/>
          </rPr>
          <t>Source: 5
Table TA 8.2</t>
        </r>
      </text>
    </comment>
    <comment ref="AI24" authorId="0">
      <text>
        <r>
          <rPr>
            <b/>
            <sz val="8"/>
            <rFont val="Tahoma"/>
            <family val="0"/>
          </rPr>
          <t>Source: 5
Table TA 8.2</t>
        </r>
      </text>
    </comment>
    <comment ref="AF24" authorId="0">
      <text>
        <r>
          <rPr>
            <b/>
            <sz val="8"/>
            <rFont val="Tahoma"/>
            <family val="0"/>
          </rPr>
          <t>Source: 5
Table TA 8.2</t>
        </r>
      </text>
    </comment>
    <comment ref="AI31" authorId="0">
      <text>
        <r>
          <rPr>
            <b/>
            <sz val="8"/>
            <rFont val="Tahoma"/>
            <family val="0"/>
          </rPr>
          <t>Source: 5
Table TA 8.2
"Express Efficiency - Upstream HVAC"
+
"HVAC Commissioning Pilot"</t>
        </r>
      </text>
    </comment>
    <comment ref="AF31" authorId="0">
      <text>
        <r>
          <rPr>
            <b/>
            <sz val="8"/>
            <rFont val="Tahoma"/>
            <family val="0"/>
          </rPr>
          <t>Source: 5
Table TA 8.2
"Express Efficiency - Upstream HVAC"
+
"HVAC Commissioning Pilot"</t>
        </r>
      </text>
    </comment>
    <comment ref="AF30" authorId="0">
      <text>
        <r>
          <rPr>
            <b/>
            <sz val="8"/>
            <rFont val="Tahoma"/>
            <family val="0"/>
          </rPr>
          <t>Source: 5
Table TA 8.2
"Express Efficiency - Upstream Motors"</t>
        </r>
      </text>
    </comment>
    <comment ref="AI30" authorId="0">
      <text>
        <r>
          <rPr>
            <b/>
            <sz val="8"/>
            <rFont val="Tahoma"/>
            <family val="0"/>
          </rPr>
          <t>Source: 5
Table TA 8.2
"Express Efficiency - Upstream Motors"</t>
        </r>
      </text>
    </comment>
    <comment ref="AF29" authorId="0">
      <text>
        <r>
          <rPr>
            <b/>
            <sz val="8"/>
            <rFont val="Tahoma"/>
            <family val="0"/>
          </rPr>
          <t>Source: 5
Table TA 8.2</t>
        </r>
      </text>
    </comment>
    <comment ref="AG29" authorId="0">
      <text>
        <r>
          <rPr>
            <b/>
            <sz val="8"/>
            <rFont val="Tahoma"/>
            <family val="0"/>
          </rPr>
          <t>Source: 5
Table TA 8.2</t>
        </r>
      </text>
    </comment>
    <comment ref="AI29" authorId="0">
      <text>
        <r>
          <rPr>
            <b/>
            <sz val="8"/>
            <rFont val="Tahoma"/>
            <family val="0"/>
          </rPr>
          <t>Source: 5
Table TA 8.2</t>
        </r>
      </text>
    </comment>
    <comment ref="AD29" authorId="0">
      <text>
        <r>
          <rPr>
            <b/>
            <sz val="8"/>
            <rFont val="Tahoma"/>
            <family val="0"/>
          </rPr>
          <t>Source: 5
Table TA 8.2</t>
        </r>
      </text>
    </comment>
    <comment ref="AI27" authorId="0">
      <text>
        <r>
          <rPr>
            <b/>
            <sz val="8"/>
            <rFont val="Tahoma"/>
            <family val="0"/>
          </rPr>
          <t>Source: 5
Table TA 8.2</t>
        </r>
      </text>
    </comment>
    <comment ref="AF27" authorId="0">
      <text>
        <r>
          <rPr>
            <b/>
            <sz val="8"/>
            <rFont val="Tahoma"/>
            <family val="0"/>
          </rPr>
          <t>Source: 5
Table TA 8.2</t>
        </r>
      </text>
    </comment>
    <comment ref="AM27" authorId="0">
      <text>
        <r>
          <rPr>
            <b/>
            <sz val="8"/>
            <rFont val="Tahoma"/>
            <family val="0"/>
          </rPr>
          <t>Source: 5
Table TA 8.2</t>
        </r>
      </text>
    </comment>
    <comment ref="AN27" authorId="0">
      <text>
        <r>
          <rPr>
            <b/>
            <sz val="8"/>
            <rFont val="Tahoma"/>
            <family val="0"/>
          </rPr>
          <t>Source: 5
Table TA 8.2</t>
        </r>
      </text>
    </comment>
    <comment ref="AI26" authorId="0">
      <text>
        <r>
          <rPr>
            <b/>
            <sz val="8"/>
            <rFont val="Tahoma"/>
            <family val="0"/>
          </rPr>
          <t>Source: 5
Table TA 8.2</t>
        </r>
      </text>
    </comment>
    <comment ref="AF26" authorId="0">
      <text>
        <r>
          <rPr>
            <b/>
            <sz val="8"/>
            <rFont val="Tahoma"/>
            <family val="0"/>
          </rPr>
          <t>Source: 5
Table TA 8.2</t>
        </r>
      </text>
    </comment>
    <comment ref="AF28" authorId="0">
      <text>
        <r>
          <rPr>
            <b/>
            <sz val="8"/>
            <rFont val="Tahoma"/>
            <family val="0"/>
          </rPr>
          <t>Source: 5
Table TA 8.2</t>
        </r>
      </text>
    </comment>
    <comment ref="AI28" authorId="0">
      <text>
        <r>
          <rPr>
            <b/>
            <sz val="8"/>
            <rFont val="Tahoma"/>
            <family val="0"/>
          </rPr>
          <t>Source: 5
Table TA 8.2</t>
        </r>
      </text>
    </comment>
    <comment ref="AF36" authorId="0">
      <text>
        <r>
          <rPr>
            <b/>
            <sz val="8"/>
            <rFont val="Tahoma"/>
            <family val="0"/>
          </rPr>
          <t>Source: 5
Table TA 8.2</t>
        </r>
      </text>
    </comment>
    <comment ref="AI36" authorId="0">
      <text>
        <r>
          <rPr>
            <b/>
            <sz val="8"/>
            <rFont val="Tahoma"/>
            <family val="0"/>
          </rPr>
          <t>Source: 5
Table TA 8.2</t>
        </r>
      </text>
    </comment>
  </commentList>
</comments>
</file>

<file path=xl/comments6.xml><?xml version="1.0" encoding="utf-8"?>
<comments xmlns="http://schemas.openxmlformats.org/spreadsheetml/2006/main">
  <authors>
    <author>Omar Siddiqui</author>
  </authors>
  <commentList>
    <comment ref="AF6" authorId="0">
      <text>
        <r>
          <rPr>
            <b/>
            <sz val="8"/>
            <rFont val="Tahoma"/>
            <family val="0"/>
          </rPr>
          <t>Source: 7
Table TA 8.2</t>
        </r>
      </text>
    </comment>
    <comment ref="AF7" authorId="0">
      <text>
        <r>
          <rPr>
            <b/>
            <sz val="8"/>
            <rFont val="Tahoma"/>
            <family val="0"/>
          </rPr>
          <t>Source: 7
Table TA 8.2</t>
        </r>
      </text>
    </comment>
    <comment ref="AF8" authorId="0">
      <text>
        <r>
          <rPr>
            <b/>
            <sz val="8"/>
            <rFont val="Tahoma"/>
            <family val="0"/>
          </rPr>
          <t>Source: 7
Table TA 8.2</t>
        </r>
      </text>
    </comment>
    <comment ref="AF9" authorId="0">
      <text>
        <r>
          <rPr>
            <b/>
            <sz val="8"/>
            <rFont val="Tahoma"/>
            <family val="0"/>
          </rPr>
          <t>Source: 7
Table TA 8.2</t>
        </r>
      </text>
    </comment>
    <comment ref="AF10" authorId="0">
      <text>
        <r>
          <rPr>
            <b/>
            <sz val="8"/>
            <rFont val="Tahoma"/>
            <family val="0"/>
          </rPr>
          <t>Source: 7
Table TA 8.2</t>
        </r>
      </text>
    </comment>
    <comment ref="AF11" authorId="0">
      <text>
        <r>
          <rPr>
            <b/>
            <sz val="8"/>
            <rFont val="Tahoma"/>
            <family val="0"/>
          </rPr>
          <t>Source: 7
Table TA 8.2</t>
        </r>
      </text>
    </comment>
    <comment ref="AF12" authorId="0">
      <text>
        <r>
          <rPr>
            <b/>
            <sz val="8"/>
            <rFont val="Tahoma"/>
            <family val="0"/>
          </rPr>
          <t>Source: 7
Table TA 8.2</t>
        </r>
      </text>
    </comment>
    <comment ref="AF13" authorId="0">
      <text>
        <r>
          <rPr>
            <b/>
            <sz val="8"/>
            <rFont val="Tahoma"/>
            <family val="0"/>
          </rPr>
          <t>Source: 7
Table TA 8.2</t>
        </r>
      </text>
    </comment>
    <comment ref="AF15" authorId="0">
      <text>
        <r>
          <rPr>
            <b/>
            <sz val="8"/>
            <rFont val="Tahoma"/>
            <family val="0"/>
          </rPr>
          <t>Source: 7
Table TA 8.2</t>
        </r>
      </text>
    </comment>
    <comment ref="AF16" authorId="0">
      <text>
        <r>
          <rPr>
            <b/>
            <sz val="8"/>
            <rFont val="Tahoma"/>
            <family val="0"/>
          </rPr>
          <t>Source: 7
Table TA 8.2</t>
        </r>
      </text>
    </comment>
    <comment ref="AF17" authorId="0">
      <text>
        <r>
          <rPr>
            <b/>
            <sz val="8"/>
            <rFont val="Tahoma"/>
            <family val="0"/>
          </rPr>
          <t>Source: 7
Table TA 8.2</t>
        </r>
      </text>
    </comment>
    <comment ref="AF18" authorId="0">
      <text>
        <r>
          <rPr>
            <b/>
            <sz val="8"/>
            <rFont val="Tahoma"/>
            <family val="0"/>
          </rPr>
          <t>Source: 7
Table TA 8.2</t>
        </r>
      </text>
    </comment>
    <comment ref="AG14" authorId="0">
      <text>
        <r>
          <rPr>
            <b/>
            <sz val="8"/>
            <rFont val="Tahoma"/>
            <family val="0"/>
          </rPr>
          <t>Source: 7
Table TA 2.1
Actual + Committed</t>
        </r>
      </text>
    </comment>
    <comment ref="AH14" authorId="0">
      <text>
        <r>
          <rPr>
            <b/>
            <sz val="8"/>
            <rFont val="Tahoma"/>
            <family val="0"/>
          </rPr>
          <t>Source: 7
Table TA 2.1
Actual + Committed</t>
        </r>
      </text>
    </comment>
    <comment ref="AG15" authorId="0">
      <text>
        <r>
          <rPr>
            <b/>
            <sz val="8"/>
            <rFont val="Tahoma"/>
            <family val="0"/>
          </rPr>
          <t>Source: 7
Table TA 2.1
Actual + Committed</t>
        </r>
      </text>
    </comment>
    <comment ref="AH15" authorId="0">
      <text>
        <r>
          <rPr>
            <b/>
            <sz val="8"/>
            <rFont val="Tahoma"/>
            <family val="0"/>
          </rPr>
          <t>Source: 7
Table TA 2.1
Actual + Committed</t>
        </r>
      </text>
    </comment>
    <comment ref="AG13" authorId="0">
      <text>
        <r>
          <rPr>
            <b/>
            <sz val="8"/>
            <rFont val="Tahoma"/>
            <family val="0"/>
          </rPr>
          <t>Source: 7
Table TA 2.1
Actual + Committed</t>
        </r>
      </text>
    </comment>
    <comment ref="AH13" authorId="0">
      <text>
        <r>
          <rPr>
            <b/>
            <sz val="8"/>
            <rFont val="Tahoma"/>
            <family val="0"/>
          </rPr>
          <t>Source: 7
Table TA 2.1
Actual + Committed</t>
        </r>
      </text>
    </comment>
    <comment ref="AG12" authorId="0">
      <text>
        <r>
          <rPr>
            <b/>
            <sz val="8"/>
            <rFont val="Tahoma"/>
            <family val="0"/>
          </rPr>
          <t>Source: 7
Table TA 2.1
Actual + Committed</t>
        </r>
      </text>
    </comment>
    <comment ref="AH12" authorId="0">
      <text>
        <r>
          <rPr>
            <b/>
            <sz val="8"/>
            <rFont val="Tahoma"/>
            <family val="0"/>
          </rPr>
          <t>Source: 7
Table TA 2.1
Actual + Committed</t>
        </r>
      </text>
    </comment>
    <comment ref="AG6" authorId="0">
      <text>
        <r>
          <rPr>
            <b/>
            <sz val="8"/>
            <rFont val="Tahoma"/>
            <family val="0"/>
          </rPr>
          <t>Source: 7
Table TA 2.1
Actual + Committed</t>
        </r>
      </text>
    </comment>
    <comment ref="AH6" authorId="0">
      <text>
        <r>
          <rPr>
            <b/>
            <sz val="8"/>
            <rFont val="Tahoma"/>
            <family val="0"/>
          </rPr>
          <t>Source: 7
Table TA 2.1
Actual + Committed</t>
        </r>
      </text>
    </comment>
    <comment ref="AG7" authorId="0">
      <text>
        <r>
          <rPr>
            <b/>
            <sz val="8"/>
            <rFont val="Tahoma"/>
            <family val="0"/>
          </rPr>
          <t>Source: 7
Table TA 2.1
Actual + Committed</t>
        </r>
      </text>
    </comment>
    <comment ref="AH7" authorId="0">
      <text>
        <r>
          <rPr>
            <b/>
            <sz val="8"/>
            <rFont val="Tahoma"/>
            <family val="0"/>
          </rPr>
          <t>Source: 7
Table TA 2.1
Actual + Committed</t>
        </r>
      </text>
    </comment>
    <comment ref="AH8" authorId="0">
      <text>
        <r>
          <rPr>
            <b/>
            <sz val="8"/>
            <rFont val="Tahoma"/>
            <family val="0"/>
          </rPr>
          <t>Source: 7
Table TA 2.1
Actual + Committed</t>
        </r>
      </text>
    </comment>
    <comment ref="AG8" authorId="0">
      <text>
        <r>
          <rPr>
            <b/>
            <sz val="8"/>
            <rFont val="Tahoma"/>
            <family val="0"/>
          </rPr>
          <t>Source: 7
Table TA 2.1
Actual + Committed</t>
        </r>
        <r>
          <rPr>
            <sz val="8"/>
            <rFont val="Tahoma"/>
            <family val="0"/>
          </rPr>
          <t xml:space="preserve">
</t>
        </r>
      </text>
    </comment>
    <comment ref="AG9" authorId="0">
      <text>
        <r>
          <rPr>
            <b/>
            <sz val="8"/>
            <rFont val="Tahoma"/>
            <family val="0"/>
          </rPr>
          <t>Source: 7
Table TA 2.1
Actual + Committed</t>
        </r>
      </text>
    </comment>
    <comment ref="AH9" authorId="0">
      <text>
        <r>
          <rPr>
            <b/>
            <sz val="8"/>
            <rFont val="Tahoma"/>
            <family val="0"/>
          </rPr>
          <t>Source: 7
Table TA 2.1
Actual + Committed</t>
        </r>
      </text>
    </comment>
    <comment ref="AG10" authorId="0">
      <text>
        <r>
          <rPr>
            <b/>
            <sz val="8"/>
            <rFont val="Tahoma"/>
            <family val="0"/>
          </rPr>
          <t>Source: 7
Table TA 2.1
Actual + Committed</t>
        </r>
      </text>
    </comment>
    <comment ref="AH10" authorId="0">
      <text>
        <r>
          <rPr>
            <b/>
            <sz val="8"/>
            <rFont val="Tahoma"/>
            <family val="0"/>
          </rPr>
          <t>Source: 7
Table TA 2.1
Actual + Committed</t>
        </r>
      </text>
    </comment>
    <comment ref="AG11" authorId="0">
      <text>
        <r>
          <rPr>
            <b/>
            <sz val="8"/>
            <rFont val="Tahoma"/>
            <family val="0"/>
          </rPr>
          <t>Source: 7
Table TA 2.1
Actual + Committed</t>
        </r>
      </text>
    </comment>
    <comment ref="AH11" authorId="0">
      <text>
        <r>
          <rPr>
            <b/>
            <sz val="8"/>
            <rFont val="Tahoma"/>
            <family val="0"/>
          </rPr>
          <t>Source: 7
Table TA 2.1
Actual + Committed</t>
        </r>
      </text>
    </comment>
    <comment ref="AG16" authorId="0">
      <text>
        <r>
          <rPr>
            <b/>
            <sz val="8"/>
            <rFont val="Tahoma"/>
            <family val="0"/>
          </rPr>
          <t>Source: 7
Table TA 2.1
Actual + Committed</t>
        </r>
      </text>
    </comment>
    <comment ref="AH16" authorId="0">
      <text>
        <r>
          <rPr>
            <b/>
            <sz val="8"/>
            <rFont val="Tahoma"/>
            <family val="0"/>
          </rPr>
          <t>Source: 7
Table TA 2.1
Actual + Committed</t>
        </r>
      </text>
    </comment>
    <comment ref="AG17" authorId="0">
      <text>
        <r>
          <rPr>
            <b/>
            <sz val="8"/>
            <rFont val="Tahoma"/>
            <family val="0"/>
          </rPr>
          <t>Source: 7
Table TA 2.1
Actual + Committed</t>
        </r>
      </text>
    </comment>
    <comment ref="AH17" authorId="0">
      <text>
        <r>
          <rPr>
            <b/>
            <sz val="8"/>
            <rFont val="Tahoma"/>
            <family val="0"/>
          </rPr>
          <t>Source: 7
Table TA 2.1
Actual + Committed</t>
        </r>
      </text>
    </comment>
    <comment ref="AG18" authorId="0">
      <text>
        <r>
          <rPr>
            <b/>
            <sz val="8"/>
            <rFont val="Tahoma"/>
            <family val="0"/>
          </rPr>
          <t>Source: 7
Table TA 2.1
Actual + Committed</t>
        </r>
      </text>
    </comment>
    <comment ref="AH18" authorId="0">
      <text>
        <r>
          <rPr>
            <b/>
            <sz val="8"/>
            <rFont val="Tahoma"/>
            <family val="0"/>
          </rPr>
          <t>Source: 7
Table TA 2.1
Actual + Committed</t>
        </r>
      </text>
    </comment>
    <comment ref="AF22" authorId="0">
      <text>
        <r>
          <rPr>
            <b/>
            <sz val="8"/>
            <rFont val="Tahoma"/>
            <family val="0"/>
          </rPr>
          <t>Source: 7
Table TA 8.2</t>
        </r>
      </text>
    </comment>
    <comment ref="AF23" authorId="0">
      <text>
        <r>
          <rPr>
            <b/>
            <sz val="8"/>
            <rFont val="Tahoma"/>
            <family val="0"/>
          </rPr>
          <t>Source: 7
Table TA 8.2</t>
        </r>
      </text>
    </comment>
    <comment ref="AF24" authorId="0">
      <text>
        <r>
          <rPr>
            <b/>
            <sz val="8"/>
            <rFont val="Tahoma"/>
            <family val="0"/>
          </rPr>
          <t>Source: 7
Table TA 8.2</t>
        </r>
      </text>
    </comment>
    <comment ref="AF25" authorId="0">
      <text>
        <r>
          <rPr>
            <b/>
            <sz val="8"/>
            <rFont val="Tahoma"/>
            <family val="0"/>
          </rPr>
          <t>Source: 7
Table TA 8.2</t>
        </r>
      </text>
    </comment>
    <comment ref="AF26" authorId="0">
      <text>
        <r>
          <rPr>
            <b/>
            <sz val="8"/>
            <rFont val="Tahoma"/>
            <family val="0"/>
          </rPr>
          <t>Source: 7
Table TA 8.2</t>
        </r>
      </text>
    </comment>
    <comment ref="AF29" authorId="0">
      <text>
        <r>
          <rPr>
            <b/>
            <sz val="8"/>
            <rFont val="Tahoma"/>
            <family val="0"/>
          </rPr>
          <t>Source: 7
Table TA 8.2</t>
        </r>
      </text>
    </comment>
    <comment ref="AF30" authorId="0">
      <text>
        <r>
          <rPr>
            <b/>
            <sz val="8"/>
            <rFont val="Tahoma"/>
            <family val="0"/>
          </rPr>
          <t>Source: 7
Table TA 8.2</t>
        </r>
      </text>
    </comment>
    <comment ref="AF31" authorId="0">
      <text>
        <r>
          <rPr>
            <b/>
            <sz val="8"/>
            <rFont val="Tahoma"/>
            <family val="0"/>
          </rPr>
          <t>Source: 7
Table TA 8.2</t>
        </r>
      </text>
    </comment>
    <comment ref="AF32" authorId="0">
      <text>
        <r>
          <rPr>
            <b/>
            <sz val="8"/>
            <rFont val="Tahoma"/>
            <family val="0"/>
          </rPr>
          <t>Source: 7
Table TA 8.2</t>
        </r>
      </text>
    </comment>
    <comment ref="AF33" authorId="0">
      <text>
        <r>
          <rPr>
            <b/>
            <sz val="8"/>
            <rFont val="Tahoma"/>
            <family val="0"/>
          </rPr>
          <t>Source: 7
Table TA 8.2</t>
        </r>
      </text>
    </comment>
    <comment ref="AF34" authorId="0">
      <text>
        <r>
          <rPr>
            <b/>
            <sz val="8"/>
            <rFont val="Tahoma"/>
            <family val="0"/>
          </rPr>
          <t>Source: 7
Table TA 8.2</t>
        </r>
      </text>
    </comment>
    <comment ref="AF35" authorId="0">
      <text>
        <r>
          <rPr>
            <b/>
            <sz val="8"/>
            <rFont val="Tahoma"/>
            <family val="0"/>
          </rPr>
          <t>Source: 7
Table TA 8.2</t>
        </r>
      </text>
    </comment>
    <comment ref="AF36" authorId="0">
      <text>
        <r>
          <rPr>
            <b/>
            <sz val="8"/>
            <rFont val="Tahoma"/>
            <family val="0"/>
          </rPr>
          <t>Source: 7
Table TA 8.2</t>
        </r>
      </text>
    </comment>
    <comment ref="AF37" authorId="0">
      <text>
        <r>
          <rPr>
            <b/>
            <sz val="8"/>
            <rFont val="Tahoma"/>
            <family val="0"/>
          </rPr>
          <t>Source: 7
Table TA 8.2</t>
        </r>
      </text>
    </comment>
    <comment ref="AF38" authorId="0">
      <text>
        <r>
          <rPr>
            <b/>
            <sz val="8"/>
            <rFont val="Tahoma"/>
            <family val="0"/>
          </rPr>
          <t>Source: 7
Table TA 8.2</t>
        </r>
      </text>
    </comment>
    <comment ref="AF39" authorId="0">
      <text>
        <r>
          <rPr>
            <b/>
            <sz val="8"/>
            <rFont val="Tahoma"/>
            <family val="0"/>
          </rPr>
          <t>Source: 7
Table TA 8.2</t>
        </r>
      </text>
    </comment>
    <comment ref="AF40" authorId="0">
      <text>
        <r>
          <rPr>
            <b/>
            <sz val="8"/>
            <rFont val="Tahoma"/>
            <family val="0"/>
          </rPr>
          <t>Source: 7
Table TA 8.2</t>
        </r>
      </text>
    </comment>
    <comment ref="AF41" authorId="0">
      <text>
        <r>
          <rPr>
            <b/>
            <sz val="8"/>
            <rFont val="Tahoma"/>
            <family val="0"/>
          </rPr>
          <t>Source: 7
Table TA 8.2</t>
        </r>
      </text>
    </comment>
    <comment ref="AF21" authorId="0">
      <text>
        <r>
          <rPr>
            <b/>
            <sz val="8"/>
            <rFont val="Tahoma"/>
            <family val="0"/>
          </rPr>
          <t>Source: 7
Table TA 8.2
(Large customer component = $95k; Small customer component = $353k)</t>
        </r>
      </text>
    </comment>
    <comment ref="AF28" authorId="0">
      <text>
        <r>
          <rPr>
            <b/>
            <sz val="8"/>
            <rFont val="Tahoma"/>
            <family val="0"/>
          </rPr>
          <t>Source: 7
Table TA 8.2
(Large customer component = $25k; Small customer component = $75k)</t>
        </r>
      </text>
    </comment>
    <comment ref="AG21" authorId="0">
      <text>
        <r>
          <rPr>
            <b/>
            <sz val="8"/>
            <rFont val="Tahoma"/>
            <family val="0"/>
          </rPr>
          <t>Source: 7
Table TA 3.1
(Large customer component = $122.7k; Small customer component = $317.9k)</t>
        </r>
      </text>
    </comment>
    <comment ref="AH21" authorId="0">
      <text>
        <r>
          <rPr>
            <b/>
            <sz val="8"/>
            <rFont val="Tahoma"/>
            <family val="0"/>
          </rPr>
          <t>Source: 7
Table TA 3.1</t>
        </r>
      </text>
    </comment>
    <comment ref="AH22" authorId="0">
      <text>
        <r>
          <rPr>
            <b/>
            <sz val="8"/>
            <rFont val="Tahoma"/>
            <family val="0"/>
          </rPr>
          <t>Source: 7
Table TA 3.1</t>
        </r>
      </text>
    </comment>
    <comment ref="AG22" authorId="0">
      <text>
        <r>
          <rPr>
            <b/>
            <sz val="8"/>
            <rFont val="Tahoma"/>
            <family val="0"/>
          </rPr>
          <t>Source: 7
Table TA 3.1</t>
        </r>
      </text>
    </comment>
    <comment ref="AG23" authorId="0">
      <text>
        <r>
          <rPr>
            <b/>
            <sz val="8"/>
            <rFont val="Tahoma"/>
            <family val="0"/>
          </rPr>
          <t>Source: 7
Table TA 3.1</t>
        </r>
      </text>
    </comment>
    <comment ref="AH23" authorId="0">
      <text>
        <r>
          <rPr>
            <b/>
            <sz val="8"/>
            <rFont val="Tahoma"/>
            <family val="0"/>
          </rPr>
          <t>Source: 7
Table TA 3.1</t>
        </r>
      </text>
    </comment>
    <comment ref="AG24" authorId="0">
      <text>
        <r>
          <rPr>
            <b/>
            <sz val="8"/>
            <rFont val="Tahoma"/>
            <family val="0"/>
          </rPr>
          <t>Source: 7
Table TA 3.1</t>
        </r>
      </text>
    </comment>
    <comment ref="AH24" authorId="0">
      <text>
        <r>
          <rPr>
            <b/>
            <sz val="8"/>
            <rFont val="Tahoma"/>
            <family val="0"/>
          </rPr>
          <t>Source: 7
Table TA 3.1</t>
        </r>
      </text>
    </comment>
    <comment ref="AG25" authorId="0">
      <text>
        <r>
          <rPr>
            <b/>
            <sz val="8"/>
            <rFont val="Tahoma"/>
            <family val="0"/>
          </rPr>
          <t>Source: 7
Table TA 3.1</t>
        </r>
      </text>
    </comment>
    <comment ref="AG26" authorId="0">
      <text>
        <r>
          <rPr>
            <b/>
            <sz val="8"/>
            <rFont val="Tahoma"/>
            <family val="0"/>
          </rPr>
          <t>Source: 7
Table TA 3.1</t>
        </r>
      </text>
    </comment>
    <comment ref="AG27" authorId="0">
      <text>
        <r>
          <rPr>
            <b/>
            <sz val="8"/>
            <rFont val="Tahoma"/>
            <family val="0"/>
          </rPr>
          <t>Source: 7
Table TA 3.1</t>
        </r>
      </text>
    </comment>
    <comment ref="AG28" authorId="0">
      <text>
        <r>
          <rPr>
            <b/>
            <sz val="8"/>
            <rFont val="Tahoma"/>
            <family val="0"/>
          </rPr>
          <t>Source: 7
Table TA 3.1</t>
        </r>
      </text>
    </comment>
    <comment ref="AH25" authorId="0">
      <text>
        <r>
          <rPr>
            <b/>
            <sz val="8"/>
            <rFont val="Tahoma"/>
            <family val="0"/>
          </rPr>
          <t>Source: 7
Table TA 3.1</t>
        </r>
      </text>
    </comment>
    <comment ref="AH26" authorId="0">
      <text>
        <r>
          <rPr>
            <b/>
            <sz val="8"/>
            <rFont val="Tahoma"/>
            <family val="0"/>
          </rPr>
          <t>Source: 7
Table TA 3.1</t>
        </r>
      </text>
    </comment>
    <comment ref="AH27" authorId="0">
      <text>
        <r>
          <rPr>
            <b/>
            <sz val="8"/>
            <rFont val="Tahoma"/>
            <family val="0"/>
          </rPr>
          <t>Source: 7
Table TA 3.1</t>
        </r>
      </text>
    </comment>
    <comment ref="AH28" authorId="0">
      <text>
        <r>
          <rPr>
            <b/>
            <sz val="8"/>
            <rFont val="Tahoma"/>
            <family val="0"/>
          </rPr>
          <t>Source: 7
Table TA 3.1</t>
        </r>
      </text>
    </comment>
    <comment ref="AG29" authorId="0">
      <text>
        <r>
          <rPr>
            <b/>
            <sz val="8"/>
            <rFont val="Tahoma"/>
            <family val="0"/>
          </rPr>
          <t>Source: 7
Table TA 3.1</t>
        </r>
      </text>
    </comment>
    <comment ref="AH29" authorId="0">
      <text>
        <r>
          <rPr>
            <b/>
            <sz val="8"/>
            <rFont val="Tahoma"/>
            <family val="0"/>
          </rPr>
          <t>Source: 7
Table TA 3.1</t>
        </r>
      </text>
    </comment>
    <comment ref="AG30" authorId="0">
      <text>
        <r>
          <rPr>
            <b/>
            <sz val="8"/>
            <rFont val="Tahoma"/>
            <family val="0"/>
          </rPr>
          <t>Source: 7
Table TA 3.1</t>
        </r>
      </text>
    </comment>
    <comment ref="AG31" authorId="0">
      <text>
        <r>
          <rPr>
            <b/>
            <sz val="8"/>
            <rFont val="Tahoma"/>
            <family val="0"/>
          </rPr>
          <t>Source: 7
Table TA 3.1</t>
        </r>
      </text>
    </comment>
    <comment ref="AH30" authorId="0">
      <text>
        <r>
          <rPr>
            <b/>
            <sz val="8"/>
            <rFont val="Tahoma"/>
            <family val="0"/>
          </rPr>
          <t>Source: 7
Table TA 3.1</t>
        </r>
      </text>
    </comment>
    <comment ref="AH31" authorId="0">
      <text>
        <r>
          <rPr>
            <b/>
            <sz val="8"/>
            <rFont val="Tahoma"/>
            <family val="0"/>
          </rPr>
          <t>Source: 7
Table TA 3.1</t>
        </r>
      </text>
    </comment>
    <comment ref="AG32" authorId="0">
      <text>
        <r>
          <rPr>
            <b/>
            <sz val="8"/>
            <rFont val="Tahoma"/>
            <family val="0"/>
          </rPr>
          <t>Source: 7
Table TA 3.1
(Actual + Committed)</t>
        </r>
      </text>
    </comment>
    <comment ref="AH32" authorId="0">
      <text>
        <r>
          <rPr>
            <b/>
            <sz val="8"/>
            <rFont val="Tahoma"/>
            <family val="0"/>
          </rPr>
          <t>Source: 7
Table TA 3.1
(Actual + Committed)</t>
        </r>
      </text>
    </comment>
    <comment ref="AG33" authorId="0">
      <text>
        <r>
          <rPr>
            <b/>
            <sz val="8"/>
            <rFont val="Tahoma"/>
            <family val="0"/>
          </rPr>
          <t>Source: 7
Table TA 3.1
(Actual + Committed)</t>
        </r>
      </text>
    </comment>
    <comment ref="AH33" authorId="0">
      <text>
        <r>
          <rPr>
            <b/>
            <sz val="8"/>
            <rFont val="Tahoma"/>
            <family val="0"/>
          </rPr>
          <t>Source: 7
Table TA 3.1
(Actual + Committed)</t>
        </r>
      </text>
    </comment>
    <comment ref="AG34" authorId="0">
      <text>
        <r>
          <rPr>
            <b/>
            <sz val="8"/>
            <rFont val="Tahoma"/>
            <family val="0"/>
          </rPr>
          <t>Source: 7
Table TA 3.1
(Actual + Committed)</t>
        </r>
      </text>
    </comment>
    <comment ref="AH34" authorId="0">
      <text>
        <r>
          <rPr>
            <b/>
            <sz val="8"/>
            <rFont val="Tahoma"/>
            <family val="0"/>
          </rPr>
          <t>Source: 7
Table TA 3.1
(Actual + Committed)</t>
        </r>
      </text>
    </comment>
    <comment ref="AG35" authorId="0">
      <text>
        <r>
          <rPr>
            <b/>
            <sz val="8"/>
            <rFont val="Tahoma"/>
            <family val="0"/>
          </rPr>
          <t>Source: 7
Table TA 3.1
(Actual + Committed)</t>
        </r>
      </text>
    </comment>
    <comment ref="AH35" authorId="0">
      <text>
        <r>
          <rPr>
            <b/>
            <sz val="8"/>
            <rFont val="Tahoma"/>
            <family val="0"/>
          </rPr>
          <t>Source: 7
Table TA 3.1
(Actual + Committed)</t>
        </r>
      </text>
    </comment>
    <comment ref="AG36" authorId="0">
      <text>
        <r>
          <rPr>
            <b/>
            <sz val="8"/>
            <rFont val="Tahoma"/>
            <family val="0"/>
          </rPr>
          <t>Source: 7
Table TA 3.1
(Actual + Committed)</t>
        </r>
      </text>
    </comment>
    <comment ref="AH36" authorId="0">
      <text>
        <r>
          <rPr>
            <b/>
            <sz val="8"/>
            <rFont val="Tahoma"/>
            <family val="0"/>
          </rPr>
          <t>Source: 7
Table TA 3.1
(Actual + Committed)</t>
        </r>
      </text>
    </comment>
    <comment ref="AG37" authorId="0">
      <text>
        <r>
          <rPr>
            <b/>
            <sz val="8"/>
            <rFont val="Tahoma"/>
            <family val="0"/>
          </rPr>
          <t>Source: 7
Table TA 3.1
(Actual + Committed)</t>
        </r>
      </text>
    </comment>
    <comment ref="AH37" authorId="0">
      <text>
        <r>
          <rPr>
            <b/>
            <sz val="8"/>
            <rFont val="Tahoma"/>
            <family val="0"/>
          </rPr>
          <t>Source: 7
Table TA 3.1
(Actual + Committed)</t>
        </r>
      </text>
    </comment>
    <comment ref="AG38" authorId="0">
      <text>
        <r>
          <rPr>
            <b/>
            <sz val="8"/>
            <rFont val="Tahoma"/>
            <family val="0"/>
          </rPr>
          <t>Source: 7
Table TA 3.1
(Actual + Committed)</t>
        </r>
      </text>
    </comment>
    <comment ref="AG39" authorId="0">
      <text>
        <r>
          <rPr>
            <b/>
            <sz val="8"/>
            <rFont val="Tahoma"/>
            <family val="0"/>
          </rPr>
          <t>Source: 7
Table TA 3.1
(Actual + Committed)</t>
        </r>
      </text>
    </comment>
    <comment ref="AH38" authorId="0">
      <text>
        <r>
          <rPr>
            <b/>
            <sz val="8"/>
            <rFont val="Tahoma"/>
            <family val="0"/>
          </rPr>
          <t>Source: 7
Table TA 3.1
(Actual + Committed)</t>
        </r>
      </text>
    </comment>
    <comment ref="AH39" authorId="0">
      <text>
        <r>
          <rPr>
            <b/>
            <sz val="8"/>
            <rFont val="Tahoma"/>
            <family val="0"/>
          </rPr>
          <t>Source: 7
Table TA 3.1
(Actual + Committed)</t>
        </r>
      </text>
    </comment>
    <comment ref="AG40" authorId="0">
      <text>
        <r>
          <rPr>
            <b/>
            <sz val="8"/>
            <rFont val="Tahoma"/>
            <family val="0"/>
          </rPr>
          <t>Source: 7
Table TA 3.1
(Actual + Committed)</t>
        </r>
      </text>
    </comment>
    <comment ref="AH40" authorId="0">
      <text>
        <r>
          <rPr>
            <b/>
            <sz val="8"/>
            <rFont val="Tahoma"/>
            <family val="0"/>
          </rPr>
          <t>Source: 7
Table TA 3.1
(Actual + Committed)</t>
        </r>
      </text>
    </comment>
    <comment ref="AG41" authorId="0">
      <text>
        <r>
          <rPr>
            <b/>
            <sz val="8"/>
            <rFont val="Tahoma"/>
            <family val="0"/>
          </rPr>
          <t>Source: 7
Table TA 3.1
(Actual + Committed)</t>
        </r>
      </text>
    </comment>
    <comment ref="AH41" authorId="0">
      <text>
        <r>
          <rPr>
            <b/>
            <sz val="8"/>
            <rFont val="Tahoma"/>
            <family val="0"/>
          </rPr>
          <t>Source: 7
Table TA 3.1
(Actual + Committed)</t>
        </r>
      </text>
    </comment>
    <comment ref="AG43" authorId="0">
      <text>
        <r>
          <rPr>
            <b/>
            <sz val="8"/>
            <rFont val="Tahoma"/>
            <family val="0"/>
          </rPr>
          <t>Source: 7
Table TA 4.1
(Actual + Committed)</t>
        </r>
      </text>
    </comment>
    <comment ref="AH43" authorId="0">
      <text>
        <r>
          <rPr>
            <b/>
            <sz val="8"/>
            <rFont val="Tahoma"/>
            <family val="0"/>
          </rPr>
          <t>Source: 7
Table TA 4.1
(Actual + Committed)</t>
        </r>
      </text>
    </comment>
    <comment ref="AG44" authorId="0">
      <text>
        <r>
          <rPr>
            <b/>
            <sz val="8"/>
            <rFont val="Tahoma"/>
            <family val="0"/>
          </rPr>
          <t>Source: 7
Table TA 4.1
(Actual + Committed)</t>
        </r>
      </text>
    </comment>
    <comment ref="AH44" authorId="0">
      <text>
        <r>
          <rPr>
            <b/>
            <sz val="8"/>
            <rFont val="Tahoma"/>
            <family val="0"/>
          </rPr>
          <t>Source: 7
Table TA 4.1
(Actual + Committed)</t>
        </r>
      </text>
    </comment>
    <comment ref="AG45" authorId="0">
      <text>
        <r>
          <rPr>
            <b/>
            <sz val="8"/>
            <rFont val="Tahoma"/>
            <family val="0"/>
          </rPr>
          <t>Source: 7
Table TA 4.1
(Actual + Committed)</t>
        </r>
      </text>
    </comment>
    <comment ref="AH45" authorId="0">
      <text>
        <r>
          <rPr>
            <b/>
            <sz val="8"/>
            <rFont val="Tahoma"/>
            <family val="0"/>
          </rPr>
          <t>Source: 7
Table TA 4.1
(Actual + Committed)</t>
        </r>
      </text>
    </comment>
    <comment ref="AG46" authorId="0">
      <text>
        <r>
          <rPr>
            <b/>
            <sz val="8"/>
            <rFont val="Tahoma"/>
            <family val="0"/>
          </rPr>
          <t>Source: 7
Table TA 4.1
(Actual + Committed)</t>
        </r>
      </text>
    </comment>
    <comment ref="AH46" authorId="0">
      <text>
        <r>
          <rPr>
            <b/>
            <sz val="8"/>
            <rFont val="Tahoma"/>
            <family val="0"/>
          </rPr>
          <t>Source: 7
Table TA 4.1
(Actual + Committed)</t>
        </r>
      </text>
    </comment>
    <comment ref="AG47" authorId="0">
      <text>
        <r>
          <rPr>
            <b/>
            <sz val="8"/>
            <rFont val="Tahoma"/>
            <family val="0"/>
          </rPr>
          <t>Source: 7
Table TA 4.1
(Actual + Committed)</t>
        </r>
      </text>
    </comment>
    <comment ref="AH47" authorId="0">
      <text>
        <r>
          <rPr>
            <b/>
            <sz val="8"/>
            <rFont val="Tahoma"/>
            <family val="0"/>
          </rPr>
          <t>Source: 7
Table TA 4.1
(Actual + Committed)</t>
        </r>
      </text>
    </comment>
    <comment ref="AG48" authorId="0">
      <text>
        <r>
          <rPr>
            <b/>
            <sz val="8"/>
            <rFont val="Tahoma"/>
            <family val="0"/>
          </rPr>
          <t>Source: 7
Table TA 4.1
(Actual + Committed)</t>
        </r>
      </text>
    </comment>
    <comment ref="AH48" authorId="0">
      <text>
        <r>
          <rPr>
            <b/>
            <sz val="8"/>
            <rFont val="Tahoma"/>
            <family val="0"/>
          </rPr>
          <t>Source: 7
Table TA 4.1
(Actual + Committed)</t>
        </r>
      </text>
    </comment>
    <comment ref="AG50" authorId="0">
      <text>
        <r>
          <rPr>
            <b/>
            <sz val="8"/>
            <rFont val="Tahoma"/>
            <family val="0"/>
          </rPr>
          <t>Source: 7
Table TA 4.1
(Actual + Committed)</t>
        </r>
      </text>
    </comment>
    <comment ref="AH50" authorId="0">
      <text>
        <r>
          <rPr>
            <b/>
            <sz val="8"/>
            <rFont val="Tahoma"/>
            <family val="0"/>
          </rPr>
          <t>Source: 7
Table TA 4.1
(Actual + Committed)</t>
        </r>
      </text>
    </comment>
    <comment ref="AG51" authorId="0">
      <text>
        <r>
          <rPr>
            <b/>
            <sz val="8"/>
            <rFont val="Tahoma"/>
            <family val="0"/>
          </rPr>
          <t>Source: 7
Table TA 4.1
(Actual + Committed)</t>
        </r>
      </text>
    </comment>
    <comment ref="AH51" authorId="0">
      <text>
        <r>
          <rPr>
            <b/>
            <sz val="8"/>
            <rFont val="Tahoma"/>
            <family val="0"/>
          </rPr>
          <t>Source: 7
Table TA 4.1
(Actual + Committed)</t>
        </r>
      </text>
    </comment>
    <comment ref="AG52" authorId="0">
      <text>
        <r>
          <rPr>
            <b/>
            <sz val="8"/>
            <rFont val="Tahoma"/>
            <family val="0"/>
          </rPr>
          <t>Source: 7
Table TA 4.1
(Actual + Committed)</t>
        </r>
      </text>
    </comment>
    <comment ref="AH52" authorId="0">
      <text>
        <r>
          <rPr>
            <b/>
            <sz val="8"/>
            <rFont val="Tahoma"/>
            <family val="0"/>
          </rPr>
          <t>Source: 7
Table TA 4.1
(Actual + Committed)</t>
        </r>
      </text>
    </comment>
    <comment ref="AG53" authorId="0">
      <text>
        <r>
          <rPr>
            <b/>
            <sz val="8"/>
            <rFont val="Tahoma"/>
            <family val="0"/>
          </rPr>
          <t>Source: 7
Table TA 4.1
(Actual + Committed)</t>
        </r>
      </text>
    </comment>
    <comment ref="AH53" authorId="0">
      <text>
        <r>
          <rPr>
            <b/>
            <sz val="8"/>
            <rFont val="Tahoma"/>
            <family val="0"/>
          </rPr>
          <t>Source: 7
Table TA 4.1
(Actual + Committed)</t>
        </r>
      </text>
    </comment>
    <comment ref="AM12" authorId="0">
      <text>
        <r>
          <rPr>
            <b/>
            <sz val="8"/>
            <rFont val="Tahoma"/>
            <family val="0"/>
          </rPr>
          <t>Source: 7
Table TA 8.2</t>
        </r>
      </text>
    </comment>
    <comment ref="AN12" authorId="0">
      <text>
        <r>
          <rPr>
            <b/>
            <sz val="8"/>
            <rFont val="Tahoma"/>
            <family val="0"/>
          </rPr>
          <t>Source: 7
Table TA 8.2</t>
        </r>
      </text>
    </comment>
    <comment ref="AO12" authorId="0">
      <text>
        <r>
          <rPr>
            <b/>
            <sz val="8"/>
            <rFont val="Tahoma"/>
            <family val="0"/>
          </rPr>
          <t>Source: 7
Table TA 8.2</t>
        </r>
      </text>
    </comment>
    <comment ref="AM11" authorId="0">
      <text>
        <r>
          <rPr>
            <b/>
            <sz val="8"/>
            <rFont val="Tahoma"/>
            <family val="0"/>
          </rPr>
          <t>Source: 7
Table TA 8.2</t>
        </r>
      </text>
    </comment>
    <comment ref="AN11" authorId="0">
      <text>
        <r>
          <rPr>
            <b/>
            <sz val="8"/>
            <rFont val="Tahoma"/>
            <family val="0"/>
          </rPr>
          <t>Source: 7
Table TA 8.2</t>
        </r>
      </text>
    </comment>
    <comment ref="AM15" authorId="0">
      <text>
        <r>
          <rPr>
            <b/>
            <sz val="8"/>
            <rFont val="Tahoma"/>
            <family val="0"/>
          </rPr>
          <t>Source: 7
Table TA 8.2</t>
        </r>
      </text>
    </comment>
    <comment ref="AN15" authorId="0">
      <text>
        <r>
          <rPr>
            <b/>
            <sz val="8"/>
            <rFont val="Tahoma"/>
            <family val="0"/>
          </rPr>
          <t>Source: 7
Table TA 8.2</t>
        </r>
      </text>
    </comment>
    <comment ref="AO15" authorId="0">
      <text>
        <r>
          <rPr>
            <b/>
            <sz val="8"/>
            <rFont val="Tahoma"/>
            <family val="0"/>
          </rPr>
          <t>Source: 7
Table TA 8.2</t>
        </r>
      </text>
    </comment>
    <comment ref="AM18" authorId="0">
      <text>
        <r>
          <rPr>
            <b/>
            <sz val="8"/>
            <rFont val="Tahoma"/>
            <family val="0"/>
          </rPr>
          <t>Source: 7
Table TA 8.2</t>
        </r>
      </text>
    </comment>
    <comment ref="AN18" authorId="0">
      <text>
        <r>
          <rPr>
            <b/>
            <sz val="8"/>
            <rFont val="Tahoma"/>
            <family val="0"/>
          </rPr>
          <t>Source: 7
Table TA 8.2</t>
        </r>
      </text>
    </comment>
    <comment ref="AO18" authorId="0">
      <text>
        <r>
          <rPr>
            <b/>
            <sz val="8"/>
            <rFont val="Tahoma"/>
            <family val="0"/>
          </rPr>
          <t>Source: 7
Table TA 8.2</t>
        </r>
      </text>
    </comment>
    <comment ref="AM31" authorId="0">
      <text>
        <r>
          <rPr>
            <b/>
            <sz val="8"/>
            <rFont val="Tahoma"/>
            <family val="0"/>
          </rPr>
          <t>Source: 7
Table TA 8.2</t>
        </r>
      </text>
    </comment>
    <comment ref="AN31" authorId="0">
      <text>
        <r>
          <rPr>
            <b/>
            <sz val="8"/>
            <rFont val="Tahoma"/>
            <family val="0"/>
          </rPr>
          <t>Source: 7
Table TA 8.2</t>
        </r>
      </text>
    </comment>
    <comment ref="AO31" authorId="0">
      <text>
        <r>
          <rPr>
            <b/>
            <sz val="8"/>
            <rFont val="Tahoma"/>
            <family val="0"/>
          </rPr>
          <t>Source: 7
Table TA 8.2</t>
        </r>
      </text>
    </comment>
    <comment ref="AM32" authorId="0">
      <text>
        <r>
          <rPr>
            <b/>
            <sz val="8"/>
            <rFont val="Tahoma"/>
            <family val="0"/>
          </rPr>
          <t>Source: 7
Table TA 8.2</t>
        </r>
      </text>
    </comment>
    <comment ref="AN32" authorId="0">
      <text>
        <r>
          <rPr>
            <b/>
            <sz val="8"/>
            <rFont val="Tahoma"/>
            <family val="0"/>
          </rPr>
          <t>Source: 7
Table TA 8.2</t>
        </r>
      </text>
    </comment>
    <comment ref="AO32" authorId="0">
      <text>
        <r>
          <rPr>
            <b/>
            <sz val="8"/>
            <rFont val="Tahoma"/>
            <family val="0"/>
          </rPr>
          <t>Source: 7
Table TA 8.2</t>
        </r>
      </text>
    </comment>
    <comment ref="AM34" authorId="0">
      <text>
        <r>
          <rPr>
            <b/>
            <sz val="8"/>
            <rFont val="Tahoma"/>
            <family val="0"/>
          </rPr>
          <t>Source: 7
Table TA 8.2</t>
        </r>
      </text>
    </comment>
    <comment ref="AO34" authorId="0">
      <text>
        <r>
          <rPr>
            <b/>
            <sz val="8"/>
            <rFont val="Tahoma"/>
            <family val="0"/>
          </rPr>
          <t>Source: 7
Table TA 8.2</t>
        </r>
      </text>
    </comment>
    <comment ref="AM35" authorId="0">
      <text>
        <r>
          <rPr>
            <b/>
            <sz val="8"/>
            <rFont val="Tahoma"/>
            <family val="0"/>
          </rPr>
          <t>Source: 7
Table TA 8.2</t>
        </r>
      </text>
    </comment>
    <comment ref="AN35" authorId="0">
      <text>
        <r>
          <rPr>
            <b/>
            <sz val="8"/>
            <rFont val="Tahoma"/>
            <family val="0"/>
          </rPr>
          <t>Source: 7
Table TA 8.2</t>
        </r>
      </text>
    </comment>
    <comment ref="AM37" authorId="0">
      <text>
        <r>
          <rPr>
            <b/>
            <sz val="8"/>
            <rFont val="Tahoma"/>
            <family val="0"/>
          </rPr>
          <t>Source: 7
Table TA 8.2</t>
        </r>
      </text>
    </comment>
    <comment ref="AN37" authorId="0">
      <text>
        <r>
          <rPr>
            <b/>
            <sz val="8"/>
            <rFont val="Tahoma"/>
            <family val="0"/>
          </rPr>
          <t>Source: 7
Table TA 8.2</t>
        </r>
      </text>
    </comment>
    <comment ref="AO37" authorId="0">
      <text>
        <r>
          <rPr>
            <b/>
            <sz val="8"/>
            <rFont val="Tahoma"/>
            <family val="0"/>
          </rPr>
          <t>Source: 7
Table TA 8.2</t>
        </r>
      </text>
    </comment>
    <comment ref="AM36" authorId="0">
      <text>
        <r>
          <rPr>
            <b/>
            <sz val="8"/>
            <rFont val="Tahoma"/>
            <family val="0"/>
          </rPr>
          <t>Source: 7
Table TA 8.2</t>
        </r>
      </text>
    </comment>
    <comment ref="AN36" authorId="0">
      <text>
        <r>
          <rPr>
            <b/>
            <sz val="8"/>
            <rFont val="Tahoma"/>
            <family val="0"/>
          </rPr>
          <t>Source: 7
Table TA 8.2</t>
        </r>
      </text>
    </comment>
    <comment ref="AO36" authorId="0">
      <text>
        <r>
          <rPr>
            <b/>
            <sz val="8"/>
            <rFont val="Tahoma"/>
            <family val="0"/>
          </rPr>
          <t>Source: 7
Table TA 8.2</t>
        </r>
      </text>
    </comment>
    <comment ref="AF19" authorId="0">
      <text>
        <r>
          <rPr>
            <b/>
            <sz val="8"/>
            <rFont val="Tahoma"/>
            <family val="0"/>
          </rPr>
          <t>Source: 7
Table TA 8.2</t>
        </r>
      </text>
    </comment>
    <comment ref="AM19" authorId="0">
      <text>
        <r>
          <rPr>
            <b/>
            <sz val="8"/>
            <rFont val="Tahoma"/>
            <family val="0"/>
          </rPr>
          <t>Source: 7
Table TA 8.2</t>
        </r>
      </text>
    </comment>
    <comment ref="AN19" authorId="0">
      <text>
        <r>
          <rPr>
            <b/>
            <sz val="8"/>
            <rFont val="Tahoma"/>
            <family val="0"/>
          </rPr>
          <t>Source: 7
Table TA 8.2</t>
        </r>
      </text>
    </comment>
    <comment ref="AO19" authorId="0">
      <text>
        <r>
          <rPr>
            <b/>
            <sz val="8"/>
            <rFont val="Tahoma"/>
            <family val="0"/>
          </rPr>
          <t>Source: 7
Table TA 8.2</t>
        </r>
      </text>
    </comment>
    <comment ref="AI19" authorId="0">
      <text>
        <r>
          <rPr>
            <b/>
            <sz val="8"/>
            <rFont val="Tahoma"/>
            <family val="0"/>
          </rPr>
          <t>Source: 7
Table TA 8.2</t>
        </r>
      </text>
    </comment>
  </commentList>
</comments>
</file>

<file path=xl/comments7.xml><?xml version="1.0" encoding="utf-8"?>
<comments xmlns="http://schemas.openxmlformats.org/spreadsheetml/2006/main">
  <authors>
    <author>Omar Siddiqui</author>
  </authors>
  <commentList>
    <comment ref="AE6" authorId="0">
      <text>
        <r>
          <rPr>
            <b/>
            <sz val="8"/>
            <rFont val="Tahoma"/>
            <family val="0"/>
          </rPr>
          <t>Source: 9
page 16</t>
        </r>
      </text>
    </comment>
    <comment ref="AH6" authorId="0">
      <text>
        <r>
          <rPr>
            <b/>
            <sz val="8"/>
            <rFont val="Tahoma"/>
            <family val="0"/>
          </rPr>
          <t>Source: 9
page 16</t>
        </r>
      </text>
    </comment>
    <comment ref="AE8" authorId="0">
      <text>
        <r>
          <rPr>
            <b/>
            <sz val="8"/>
            <rFont val="Tahoma"/>
            <family val="0"/>
          </rPr>
          <t>Source: 9
Table 2.1</t>
        </r>
      </text>
    </comment>
    <comment ref="AH8" authorId="0">
      <text>
        <r>
          <rPr>
            <b/>
            <sz val="8"/>
            <rFont val="Tahoma"/>
            <family val="0"/>
          </rPr>
          <t>Source: 9
Table 2.1</t>
        </r>
      </text>
    </comment>
    <comment ref="AE7" authorId="0">
      <text>
        <r>
          <rPr>
            <b/>
            <sz val="8"/>
            <rFont val="Tahoma"/>
            <family val="0"/>
          </rPr>
          <t>Source: 9
calculation from Table 2.1 and page 16</t>
        </r>
      </text>
    </comment>
    <comment ref="AH7" authorId="0">
      <text>
        <r>
          <rPr>
            <b/>
            <sz val="8"/>
            <rFont val="Tahoma"/>
            <family val="0"/>
          </rPr>
          <t>Source: 9
calculation from Table 2.1 and page 16</t>
        </r>
      </text>
    </comment>
    <comment ref="F9" authorId="0">
      <text>
        <r>
          <rPr>
            <b/>
            <sz val="8"/>
            <rFont val="Tahoma"/>
            <family val="0"/>
          </rPr>
          <t>$5.77 Million through SBx1 5
Source: 9
page 21</t>
        </r>
      </text>
    </comment>
    <comment ref="AL9" authorId="0">
      <text>
        <r>
          <rPr>
            <b/>
            <sz val="8"/>
            <rFont val="Tahoma"/>
            <family val="0"/>
          </rPr>
          <t>Source: 9
Page 23</t>
        </r>
      </text>
    </comment>
    <comment ref="AM9" authorId="0">
      <text>
        <r>
          <rPr>
            <b/>
            <sz val="8"/>
            <rFont val="Tahoma"/>
            <family val="0"/>
          </rPr>
          <t>Source: 9
Page 23</t>
        </r>
      </text>
    </comment>
    <comment ref="AN9" authorId="0">
      <text>
        <r>
          <rPr>
            <b/>
            <sz val="8"/>
            <rFont val="Tahoma"/>
            <family val="0"/>
          </rPr>
          <t>Source: 9
Page 23</t>
        </r>
      </text>
    </comment>
    <comment ref="AL10" authorId="0">
      <text>
        <r>
          <rPr>
            <b/>
            <sz val="8"/>
            <rFont val="Tahoma"/>
            <family val="0"/>
          </rPr>
          <t>Source: 9
Page 27</t>
        </r>
      </text>
    </comment>
    <comment ref="AM10" authorId="0">
      <text>
        <r>
          <rPr>
            <b/>
            <sz val="8"/>
            <rFont val="Tahoma"/>
            <family val="0"/>
          </rPr>
          <t>Source: 9
Page 27</t>
        </r>
      </text>
    </comment>
    <comment ref="AN10" authorId="0">
      <text>
        <r>
          <rPr>
            <b/>
            <sz val="8"/>
            <rFont val="Tahoma"/>
            <family val="0"/>
          </rPr>
          <t>Source: 9
Page 27</t>
        </r>
      </text>
    </comment>
    <comment ref="AN11" authorId="0">
      <text>
        <r>
          <rPr>
            <b/>
            <sz val="8"/>
            <rFont val="Tahoma"/>
            <family val="0"/>
          </rPr>
          <t>Source: 9
Page 29</t>
        </r>
      </text>
    </comment>
    <comment ref="AE12" authorId="0">
      <text>
        <r>
          <rPr>
            <b/>
            <sz val="8"/>
            <rFont val="Tahoma"/>
            <family val="0"/>
          </rPr>
          <t>Source: 9
Page 30</t>
        </r>
      </text>
    </comment>
    <comment ref="AL13" authorId="0">
      <text>
        <r>
          <rPr>
            <b/>
            <sz val="8"/>
            <rFont val="Tahoma"/>
            <family val="0"/>
          </rPr>
          <t>Source: 9
Page 32</t>
        </r>
      </text>
    </comment>
    <comment ref="AM13" authorId="0">
      <text>
        <r>
          <rPr>
            <b/>
            <sz val="8"/>
            <rFont val="Tahoma"/>
            <family val="0"/>
          </rPr>
          <t>Source: 9
Page 32</t>
        </r>
      </text>
    </comment>
    <comment ref="AN13" authorId="0">
      <text>
        <r>
          <rPr>
            <b/>
            <sz val="8"/>
            <rFont val="Tahoma"/>
            <family val="0"/>
          </rPr>
          <t>Source: 9
Page 32</t>
        </r>
      </text>
    </comment>
    <comment ref="AE14" authorId="0">
      <text>
        <r>
          <rPr>
            <b/>
            <sz val="8"/>
            <rFont val="Tahoma"/>
            <family val="0"/>
          </rPr>
          <t>Source; 9
Page 33</t>
        </r>
      </text>
    </comment>
    <comment ref="AE15" authorId="0">
      <text>
        <r>
          <rPr>
            <b/>
            <sz val="8"/>
            <rFont val="Tahoma"/>
            <family val="0"/>
          </rPr>
          <t>Source: 9
Page 35</t>
        </r>
      </text>
    </comment>
    <comment ref="AH15" authorId="0">
      <text>
        <r>
          <rPr>
            <b/>
            <sz val="8"/>
            <rFont val="Tahoma"/>
            <family val="0"/>
          </rPr>
          <t>Source: 9
Page 35</t>
        </r>
      </text>
    </comment>
    <comment ref="AD9" authorId="0">
      <text>
        <r>
          <rPr>
            <b/>
            <sz val="8"/>
            <rFont val="Tahoma"/>
            <family val="0"/>
          </rPr>
          <t>Source: 9
Page 21</t>
        </r>
      </text>
    </comment>
    <comment ref="AD16" authorId="0">
      <text>
        <r>
          <rPr>
            <b/>
            <sz val="8"/>
            <rFont val="Tahoma"/>
            <family val="0"/>
          </rPr>
          <t>Source: 9
Page 36
PGC funds</t>
        </r>
      </text>
    </comment>
    <comment ref="AG16" authorId="0">
      <text>
        <r>
          <rPr>
            <b/>
            <sz val="8"/>
            <rFont val="Tahoma"/>
            <family val="0"/>
          </rPr>
          <t>Source: 9
Page 36
($925k in SBx1 5 funds added to program)</t>
        </r>
      </text>
    </comment>
    <comment ref="AN16" authorId="0">
      <text>
        <r>
          <rPr>
            <b/>
            <sz val="8"/>
            <rFont val="Tahoma"/>
            <family val="0"/>
          </rPr>
          <t>Source: 9
Page 36</t>
        </r>
      </text>
    </comment>
    <comment ref="AL8" authorId="0">
      <text>
        <r>
          <rPr>
            <b/>
            <sz val="8"/>
            <rFont val="Tahoma"/>
            <family val="0"/>
          </rPr>
          <t>Source: 9
Table 2.2</t>
        </r>
      </text>
    </comment>
    <comment ref="AM8" authorId="0">
      <text>
        <r>
          <rPr>
            <b/>
            <sz val="8"/>
            <rFont val="Tahoma"/>
            <family val="0"/>
          </rPr>
          <t>Source: 9
Table 2.2</t>
        </r>
      </text>
    </comment>
    <comment ref="AN8" authorId="0">
      <text>
        <r>
          <rPr>
            <b/>
            <sz val="8"/>
            <rFont val="Tahoma"/>
            <family val="0"/>
          </rPr>
          <t>Source: 9
Table 2.2</t>
        </r>
      </text>
    </comment>
    <comment ref="AL23" authorId="0">
      <text>
        <r>
          <rPr>
            <b/>
            <sz val="8"/>
            <rFont val="Tahoma"/>
            <family val="0"/>
          </rPr>
          <t>Source: 9
Page 47</t>
        </r>
      </text>
    </comment>
    <comment ref="AN23" authorId="0">
      <text>
        <r>
          <rPr>
            <b/>
            <sz val="8"/>
            <rFont val="Tahoma"/>
            <family val="0"/>
          </rPr>
          <t>Source: 9
Page 47</t>
        </r>
      </text>
    </comment>
    <comment ref="AN25" authorId="0">
      <text>
        <r>
          <rPr>
            <b/>
            <sz val="8"/>
            <rFont val="Tahoma"/>
            <family val="0"/>
          </rPr>
          <t>Source: 9
Page 50</t>
        </r>
      </text>
    </comment>
    <comment ref="AL25" authorId="0">
      <text>
        <r>
          <rPr>
            <b/>
            <sz val="8"/>
            <rFont val="Tahoma"/>
            <family val="0"/>
          </rPr>
          <t>Source: 9
Page 51
(Note: SCG did not include results of Super Audit)</t>
        </r>
      </text>
    </comment>
    <comment ref="AM25" authorId="0">
      <text>
        <r>
          <rPr>
            <b/>
            <sz val="8"/>
            <rFont val="Tahoma"/>
            <family val="0"/>
          </rPr>
          <t>Source: 9
calculation based on Table 3.2 and Page 51
(Note: SCG did not include results of Super Audit)</t>
        </r>
      </text>
    </comment>
    <comment ref="AL26" authorId="0">
      <text>
        <r>
          <rPr>
            <b/>
            <sz val="8"/>
            <rFont val="Tahoma"/>
            <family val="0"/>
          </rPr>
          <t>Source: 9
Page 52
(Note: SCG did not include results of Super Audit)</t>
        </r>
      </text>
    </comment>
    <comment ref="AN26" authorId="0">
      <text>
        <r>
          <rPr>
            <b/>
            <sz val="8"/>
            <rFont val="Tahoma"/>
            <family val="0"/>
          </rPr>
          <t>Source: 9
Page 52</t>
        </r>
      </text>
    </comment>
    <comment ref="AL27" authorId="0">
      <text>
        <r>
          <rPr>
            <b/>
            <sz val="8"/>
            <rFont val="Tahoma"/>
            <family val="0"/>
          </rPr>
          <t>Source: 9
Page 53</t>
        </r>
      </text>
    </comment>
    <comment ref="AM27" authorId="0">
      <text>
        <r>
          <rPr>
            <b/>
            <sz val="8"/>
            <rFont val="Tahoma"/>
            <family val="0"/>
          </rPr>
          <t>Source: 9
Page 53</t>
        </r>
      </text>
    </comment>
    <comment ref="AN27" authorId="0">
      <text>
        <r>
          <rPr>
            <b/>
            <sz val="8"/>
            <rFont val="Tahoma"/>
            <family val="2"/>
          </rPr>
          <t>Source: 9
Page 53</t>
        </r>
        <r>
          <rPr>
            <sz val="8"/>
            <rFont val="Tahoma"/>
            <family val="2"/>
          </rPr>
          <t xml:space="preserve">
</t>
        </r>
      </text>
    </comment>
    <comment ref="AN28" authorId="0">
      <text>
        <r>
          <rPr>
            <b/>
            <sz val="8"/>
            <rFont val="Tahoma"/>
            <family val="0"/>
          </rPr>
          <t>Source: 9
Pages 55-57</t>
        </r>
      </text>
    </comment>
    <comment ref="AG28" authorId="0">
      <text>
        <r>
          <rPr>
            <b/>
            <sz val="8"/>
            <rFont val="Tahoma"/>
            <family val="0"/>
          </rPr>
          <t>Source: 9
Pages 55-57</t>
        </r>
      </text>
    </comment>
    <comment ref="AN29" authorId="0">
      <text>
        <r>
          <rPr>
            <b/>
            <sz val="8"/>
            <rFont val="Tahoma"/>
            <family val="0"/>
          </rPr>
          <t>Source: 9
Page 58</t>
        </r>
      </text>
    </comment>
    <comment ref="AG29" authorId="0">
      <text>
        <r>
          <rPr>
            <b/>
            <sz val="8"/>
            <rFont val="Tahoma"/>
            <family val="0"/>
          </rPr>
          <t>Source: 9
Page 58</t>
        </r>
      </text>
    </comment>
    <comment ref="AN30" authorId="0">
      <text>
        <r>
          <rPr>
            <b/>
            <sz val="8"/>
            <rFont val="Tahoma"/>
            <family val="0"/>
          </rPr>
          <t>Source: 9
Page 60</t>
        </r>
      </text>
    </comment>
    <comment ref="AG30" authorId="0">
      <text>
        <r>
          <rPr>
            <b/>
            <sz val="8"/>
            <rFont val="Tahoma"/>
            <family val="0"/>
          </rPr>
          <t>Source: 9
Page 60</t>
        </r>
      </text>
    </comment>
    <comment ref="AL32" authorId="0">
      <text>
        <r>
          <rPr>
            <b/>
            <sz val="8"/>
            <rFont val="Tahoma"/>
            <family val="0"/>
          </rPr>
          <t>Source: 9
Page 62</t>
        </r>
      </text>
    </comment>
    <comment ref="AM32" authorId="0">
      <text>
        <r>
          <rPr>
            <b/>
            <sz val="8"/>
            <rFont val="Tahoma"/>
            <family val="0"/>
          </rPr>
          <t>Source: 9
Page 62</t>
        </r>
      </text>
    </comment>
    <comment ref="AN32" authorId="0">
      <text>
        <r>
          <rPr>
            <b/>
            <sz val="8"/>
            <rFont val="Tahoma"/>
            <family val="0"/>
          </rPr>
          <t>Source: 9
Page 62</t>
        </r>
      </text>
    </comment>
    <comment ref="AE31" authorId="0">
      <text>
        <r>
          <rPr>
            <b/>
            <sz val="8"/>
            <rFont val="Tahoma"/>
            <family val="0"/>
          </rPr>
          <t>Source: 9
Page 63</t>
        </r>
      </text>
    </comment>
    <comment ref="AE35" authorId="0">
      <text>
        <r>
          <rPr>
            <b/>
            <sz val="8"/>
            <rFont val="Tahoma"/>
            <family val="0"/>
          </rPr>
          <t>Source: 9
Table 4.1</t>
        </r>
      </text>
    </comment>
    <comment ref="AH35" authorId="0">
      <text>
        <r>
          <rPr>
            <b/>
            <sz val="8"/>
            <rFont val="Tahoma"/>
            <family val="0"/>
          </rPr>
          <t>Source: 9
Table 4.1</t>
        </r>
      </text>
    </comment>
    <comment ref="AL35" authorId="0">
      <text>
        <r>
          <rPr>
            <b/>
            <sz val="8"/>
            <rFont val="Tahoma"/>
            <family val="0"/>
          </rPr>
          <t>Source: 9
Table 4.2</t>
        </r>
      </text>
    </comment>
    <comment ref="AM35" authorId="0">
      <text>
        <r>
          <rPr>
            <b/>
            <sz val="8"/>
            <rFont val="Tahoma"/>
            <family val="0"/>
          </rPr>
          <t>Source: 9
Table 4.2</t>
        </r>
      </text>
    </comment>
    <comment ref="AN35" authorId="0">
      <text>
        <r>
          <rPr>
            <b/>
            <sz val="8"/>
            <rFont val="Tahoma"/>
            <family val="0"/>
          </rPr>
          <t>Source: 9
Page 73</t>
        </r>
      </text>
    </comment>
    <comment ref="AD36" authorId="0">
      <text>
        <r>
          <rPr>
            <b/>
            <sz val="8"/>
            <rFont val="Tahoma"/>
            <family val="0"/>
          </rPr>
          <t>Source: 9
Page 74</t>
        </r>
      </text>
    </comment>
    <comment ref="AG36" authorId="0">
      <text>
        <r>
          <rPr>
            <b/>
            <sz val="8"/>
            <rFont val="Tahoma"/>
            <family val="0"/>
          </rPr>
          <t>Source: 9
Page 74</t>
        </r>
      </text>
    </comment>
    <comment ref="AL36" authorId="0">
      <text>
        <r>
          <rPr>
            <b/>
            <sz val="8"/>
            <rFont val="Tahoma"/>
            <family val="0"/>
          </rPr>
          <t>Source: 9
Table 4.2
(calculated)</t>
        </r>
      </text>
    </comment>
    <comment ref="AN36" authorId="0">
      <text>
        <r>
          <rPr>
            <b/>
            <sz val="8"/>
            <rFont val="Tahoma"/>
            <family val="0"/>
          </rPr>
          <t>Source: 9
Table 4.2</t>
        </r>
      </text>
    </comment>
    <comment ref="AL38" authorId="0">
      <text>
        <r>
          <rPr>
            <b/>
            <sz val="8"/>
            <rFont val="Tahoma"/>
            <family val="0"/>
          </rPr>
          <t>Source: 9
Page 77</t>
        </r>
      </text>
    </comment>
    <comment ref="AN38" authorId="0">
      <text>
        <r>
          <rPr>
            <b/>
            <sz val="8"/>
            <rFont val="Tahoma"/>
            <family val="0"/>
          </rPr>
          <t>Source: 9
Page 77</t>
        </r>
      </text>
    </comment>
    <comment ref="AH37" authorId="0">
      <text>
        <r>
          <rPr>
            <b/>
            <sz val="8"/>
            <rFont val="Tahoma"/>
            <family val="0"/>
          </rPr>
          <t>Source: 9
Table 4.1
(calculation)</t>
        </r>
      </text>
    </comment>
    <comment ref="AH18" authorId="0">
      <text>
        <r>
          <rPr>
            <b/>
            <sz val="8"/>
            <rFont val="Tahoma"/>
            <family val="0"/>
          </rPr>
          <t>Recorded cost of all Non Res Info programs combined: $2,981k.
Source: 9
Table 3.1
(program-specific cost information not available)</t>
        </r>
      </text>
    </comment>
    <comment ref="AH25" authorId="0">
      <text>
        <r>
          <rPr>
            <b/>
            <sz val="8"/>
            <rFont val="Tahoma"/>
            <family val="0"/>
          </rPr>
          <t>Recorded cost of all Non Res EMS programs combined: $3,662k.
Source: 9
Table 3.1
(program-specific cost information not available)</t>
        </r>
      </text>
    </comment>
    <comment ref="AH31" authorId="0">
      <text>
        <r>
          <rPr>
            <b/>
            <sz val="8"/>
            <rFont val="Tahoma"/>
            <family val="0"/>
          </rPr>
          <t>Recorded cost of all Non Res Upstream programs combined: $1,522k.
Source: 9
Table 3.1
(program-specific cost information not available)</t>
        </r>
      </text>
    </comment>
    <comment ref="AH28" authorId="0">
      <text>
        <r>
          <rPr>
            <b/>
            <sz val="8"/>
            <rFont val="Tahoma"/>
            <family val="0"/>
          </rPr>
          <t>Recorded cost of all Non Res EE Incentive programs combined: $5,567k.
Source: 9
Table 3.1
(program-specific cost information not available)</t>
        </r>
      </text>
    </comment>
    <comment ref="AH9" authorId="0">
      <text>
        <r>
          <rPr>
            <b/>
            <sz val="8"/>
            <rFont val="Tahoma"/>
            <family val="0"/>
          </rPr>
          <t>Source: 9
Table 2.1
No breakout between the two programs</t>
        </r>
      </text>
    </comment>
    <comment ref="AH11" authorId="0">
      <text>
        <r>
          <rPr>
            <b/>
            <sz val="8"/>
            <rFont val="Tahoma"/>
            <family val="0"/>
          </rPr>
          <t>Calculation based on 
Source: 9, Table 2.1
and values for Emerging Technology and Statewide Residential Appliances programs.
No further breakout available for the individual programs</t>
        </r>
      </text>
    </comment>
    <comment ref="AL6" authorId="0">
      <text>
        <r>
          <rPr>
            <b/>
            <sz val="8"/>
            <rFont val="Tahoma"/>
            <family val="0"/>
          </rPr>
          <t>Source: 9
Table 2.2</t>
        </r>
      </text>
    </comment>
    <comment ref="AM6" authorId="0">
      <text>
        <r>
          <rPr>
            <b/>
            <sz val="8"/>
            <rFont val="Tahoma"/>
            <family val="0"/>
          </rPr>
          <t>Source: 9
Table 2.2</t>
        </r>
      </text>
    </comment>
    <comment ref="AN6" authorId="0">
      <text>
        <r>
          <rPr>
            <b/>
            <sz val="8"/>
            <rFont val="Tahoma"/>
            <family val="0"/>
          </rPr>
          <t>Source: 9
Table 2.2</t>
        </r>
      </text>
    </comment>
    <comment ref="AN14" authorId="0">
      <text>
        <r>
          <rPr>
            <b/>
            <sz val="8"/>
            <rFont val="Tahoma"/>
            <family val="0"/>
          </rPr>
          <t>Source: 9
Table 2.2
calculated from total Upstream savings less savings known for other Upstream programs based on Source 9</t>
        </r>
      </text>
    </comment>
  </commentList>
</comments>
</file>

<file path=xl/comments8.xml><?xml version="1.0" encoding="utf-8"?>
<comments xmlns="http://schemas.openxmlformats.org/spreadsheetml/2006/main">
  <authors>
    <author>Omar Siddiqui</author>
  </authors>
  <commentList>
    <comment ref="AI9" authorId="0">
      <text>
        <r>
          <rPr>
            <b/>
            <sz val="8"/>
            <rFont val="Tahoma"/>
            <family val="2"/>
          </rPr>
          <t>Calculation
Note: Source 2 reports $4.28M as of 9/1/01</t>
        </r>
      </text>
    </comment>
    <comment ref="AK9" authorId="0">
      <text>
        <r>
          <rPr>
            <b/>
            <sz val="8"/>
            <rFont val="Tahoma"/>
            <family val="0"/>
          </rPr>
          <t>Source: 12</t>
        </r>
      </text>
    </comment>
    <comment ref="AM9" authorId="0">
      <text>
        <r>
          <rPr>
            <b/>
            <sz val="8"/>
            <rFont val="Tahoma"/>
            <family val="0"/>
          </rPr>
          <t>36,623 MWh
according to Source 2
Note - through 9/01</t>
        </r>
      </text>
    </comment>
    <comment ref="AN9" authorId="0">
      <text>
        <r>
          <rPr>
            <b/>
            <sz val="8"/>
            <rFont val="Tahoma"/>
            <family val="2"/>
          </rPr>
          <t>Source: 2
Note: Source 1 reports 3MW</t>
        </r>
      </text>
    </comment>
    <comment ref="AF9" authorId="0">
      <text>
        <r>
          <rPr>
            <b/>
            <sz val="8"/>
            <rFont val="Tahoma"/>
            <family val="0"/>
          </rPr>
          <t>Source: 12</t>
        </r>
      </text>
    </comment>
    <comment ref="AF42" authorId="0">
      <text>
        <r>
          <rPr>
            <b/>
            <sz val="8"/>
            <rFont val="Tahoma"/>
            <family val="0"/>
          </rPr>
          <t>Source: 7
Table 7
(1,000 acc to Source 7,
page 1-5)</t>
        </r>
      </text>
    </comment>
    <comment ref="AJ42" authorId="0">
      <text>
        <r>
          <rPr>
            <b/>
            <sz val="8"/>
            <rFont val="Tahoma"/>
            <family val="0"/>
          </rPr>
          <t>Source: 7
page 1-5</t>
        </r>
      </text>
    </comment>
    <comment ref="AK42" authorId="0">
      <text>
        <r>
          <rPr>
            <b/>
            <sz val="8"/>
            <rFont val="Tahoma"/>
            <family val="0"/>
          </rPr>
          <t>Source: 7
page 1-5</t>
        </r>
      </text>
    </comment>
    <comment ref="AG19" authorId="0">
      <text>
        <r>
          <rPr>
            <b/>
            <sz val="8"/>
            <rFont val="Tahoma"/>
            <family val="0"/>
          </rPr>
          <t>Source: 5
Table TA 7.1</t>
        </r>
      </text>
    </comment>
    <comment ref="AH19" authorId="0">
      <text>
        <r>
          <rPr>
            <b/>
            <sz val="8"/>
            <rFont val="Tahoma"/>
            <family val="0"/>
          </rPr>
          <t>Source: 5
Table TA 7.1</t>
        </r>
      </text>
    </comment>
    <comment ref="AF19" authorId="0">
      <text>
        <r>
          <rPr>
            <b/>
            <sz val="8"/>
            <rFont val="Tahoma"/>
            <family val="0"/>
          </rPr>
          <t>Source: 5
Table 7.1</t>
        </r>
      </text>
    </comment>
    <comment ref="AF27" authorId="0">
      <text>
        <r>
          <rPr>
            <b/>
            <sz val="8"/>
            <rFont val="Tahoma"/>
            <family val="0"/>
          </rPr>
          <t>Source: 5
Table 7.1</t>
        </r>
      </text>
    </comment>
    <comment ref="AG27" authorId="0">
      <text>
        <r>
          <rPr>
            <b/>
            <sz val="8"/>
            <rFont val="Tahoma"/>
            <family val="0"/>
          </rPr>
          <t>Source: 5
Table TA 7.1</t>
        </r>
      </text>
    </comment>
    <comment ref="AH27" authorId="0">
      <text>
        <r>
          <rPr>
            <b/>
            <sz val="8"/>
            <rFont val="Tahoma"/>
            <family val="0"/>
          </rPr>
          <t>Source: 5
Table TA 7.1</t>
        </r>
      </text>
    </comment>
    <comment ref="AF15" authorId="0">
      <text>
        <r>
          <rPr>
            <b/>
            <sz val="8"/>
            <rFont val="Tahoma"/>
            <family val="0"/>
          </rPr>
          <t>Funds were expended in PY 2000</t>
        </r>
      </text>
    </comment>
    <comment ref="AD15" authorId="0">
      <text>
        <r>
          <rPr>
            <b/>
            <sz val="8"/>
            <rFont val="Tahoma"/>
            <family val="0"/>
          </rPr>
          <t>Funds were expended in PY 2000</t>
        </r>
      </text>
    </comment>
    <comment ref="AE15" authorId="0">
      <text>
        <r>
          <rPr>
            <b/>
            <sz val="8"/>
            <rFont val="Tahoma"/>
            <family val="0"/>
          </rPr>
          <t>Funds were expended in PY 2000</t>
        </r>
      </text>
    </comment>
    <comment ref="AG15" authorId="0">
      <text>
        <r>
          <rPr>
            <b/>
            <sz val="8"/>
            <rFont val="Tahoma"/>
            <family val="0"/>
          </rPr>
          <t>Funds were expended in PY 2000</t>
        </r>
      </text>
    </comment>
    <comment ref="AH15" authorId="0">
      <text>
        <r>
          <rPr>
            <b/>
            <sz val="8"/>
            <rFont val="Tahoma"/>
            <family val="0"/>
          </rPr>
          <t>Funds were expended in PY 2000</t>
        </r>
      </text>
    </comment>
    <comment ref="AI15" authorId="0">
      <text>
        <r>
          <rPr>
            <b/>
            <sz val="8"/>
            <rFont val="Tahoma"/>
            <family val="0"/>
          </rPr>
          <t>Funds were expended in PY 2000</t>
        </r>
      </text>
    </comment>
    <comment ref="AJ15" authorId="0">
      <text>
        <r>
          <rPr>
            <b/>
            <sz val="8"/>
            <rFont val="Tahoma"/>
            <family val="0"/>
          </rPr>
          <t>ARCA SI Program was completed in SCE territory in PY 2000</t>
        </r>
      </text>
    </comment>
    <comment ref="AK15" authorId="0">
      <text>
        <r>
          <rPr>
            <b/>
            <sz val="8"/>
            <rFont val="Tahoma"/>
            <family val="0"/>
          </rPr>
          <t>ARCA SI Program was completed in SCE territory in PY 2000</t>
        </r>
      </text>
    </comment>
    <comment ref="AL15" authorId="0">
      <text>
        <r>
          <rPr>
            <b/>
            <sz val="8"/>
            <rFont val="Tahoma"/>
            <family val="0"/>
          </rPr>
          <t>ARCA SI Program was completed in SCE territory in PY 2000</t>
        </r>
      </text>
    </comment>
    <comment ref="AM15" authorId="0">
      <text>
        <r>
          <rPr>
            <b/>
            <sz val="8"/>
            <rFont val="Tahoma"/>
            <family val="0"/>
          </rPr>
          <t>ARCA SI Program was completed in SCE territory in PY 2000</t>
        </r>
      </text>
    </comment>
    <comment ref="AN15" authorId="0">
      <text>
        <r>
          <rPr>
            <b/>
            <sz val="8"/>
            <rFont val="Tahoma"/>
            <family val="0"/>
          </rPr>
          <t>ARCA SI Program was completed in SCE territory in PY 2000</t>
        </r>
      </text>
    </comment>
    <comment ref="AO15" authorId="0">
      <text>
        <r>
          <rPr>
            <b/>
            <sz val="8"/>
            <rFont val="Tahoma"/>
            <family val="0"/>
          </rPr>
          <t>ARCA SI Program was completed in SCE territory in PY 2000</t>
        </r>
      </text>
    </comment>
    <comment ref="AF11" authorId="0">
      <text>
        <r>
          <rPr>
            <b/>
            <sz val="8"/>
            <rFont val="Tahoma"/>
            <family val="0"/>
          </rPr>
          <t>Source: 5
Table 7.1</t>
        </r>
      </text>
    </comment>
    <comment ref="AG11" authorId="0">
      <text>
        <r>
          <rPr>
            <b/>
            <sz val="8"/>
            <rFont val="Tahoma"/>
            <family val="0"/>
          </rPr>
          <t>Source: 5
Table TA 7.1</t>
        </r>
      </text>
    </comment>
    <comment ref="AH11" authorId="0">
      <text>
        <r>
          <rPr>
            <b/>
            <sz val="8"/>
            <rFont val="Tahoma"/>
            <family val="0"/>
          </rPr>
          <t>Source: 5
Table TA 7.1</t>
        </r>
      </text>
    </comment>
    <comment ref="AI11" authorId="0">
      <text>
        <r>
          <rPr>
            <b/>
            <sz val="8"/>
            <rFont val="Tahoma"/>
            <family val="0"/>
          </rPr>
          <t>Source: 5
Table TA 7.1</t>
        </r>
      </text>
    </comment>
    <comment ref="AM11" authorId="0">
      <text>
        <r>
          <rPr>
            <b/>
            <sz val="8"/>
            <rFont val="Tahoma"/>
            <family val="0"/>
          </rPr>
          <t>Source: 5
Table 7.2
"net annualized energy savings"</t>
        </r>
      </text>
    </comment>
    <comment ref="AN11" authorId="0">
      <text>
        <r>
          <rPr>
            <b/>
            <sz val="8"/>
            <rFont val="Tahoma"/>
            <family val="0"/>
          </rPr>
          <t>Source: 5
Table 7.2
"net annualized capacity savings"</t>
        </r>
      </text>
    </comment>
    <comment ref="AE23" authorId="0">
      <text>
        <r>
          <rPr>
            <b/>
            <sz val="8"/>
            <rFont val="Tahoma"/>
            <family val="0"/>
          </rPr>
          <t>Source: 5
Table 7.1</t>
        </r>
      </text>
    </comment>
    <comment ref="AF23" authorId="0">
      <text>
        <r>
          <rPr>
            <b/>
            <sz val="8"/>
            <rFont val="Tahoma"/>
            <family val="2"/>
          </rPr>
          <t>Source: 5
Table 7.1</t>
        </r>
        <r>
          <rPr>
            <sz val="8"/>
            <rFont val="Tahoma"/>
            <family val="2"/>
          </rPr>
          <t xml:space="preserve">
</t>
        </r>
      </text>
    </comment>
    <comment ref="AD23" authorId="0">
      <text>
        <r>
          <rPr>
            <b/>
            <sz val="8"/>
            <rFont val="Tahoma"/>
            <family val="0"/>
          </rPr>
          <t>Source: 5
Table 7.1</t>
        </r>
      </text>
    </comment>
    <comment ref="AG23" authorId="0">
      <text>
        <r>
          <rPr>
            <b/>
            <sz val="8"/>
            <rFont val="Tahoma"/>
            <family val="0"/>
          </rPr>
          <t>Source: 5
Table TA 7.1</t>
        </r>
      </text>
    </comment>
    <comment ref="AH23" authorId="0">
      <text>
        <r>
          <rPr>
            <b/>
            <sz val="8"/>
            <rFont val="Tahoma"/>
            <family val="0"/>
          </rPr>
          <t>Source: 5
Table TA 7.1</t>
        </r>
      </text>
    </comment>
    <comment ref="AI23" authorId="0">
      <text>
        <r>
          <rPr>
            <b/>
            <sz val="8"/>
            <rFont val="Tahoma"/>
            <family val="0"/>
          </rPr>
          <t>Source: 5
Table TA 7.1</t>
        </r>
      </text>
    </comment>
    <comment ref="AM23" authorId="0">
      <text>
        <r>
          <rPr>
            <b/>
            <sz val="8"/>
            <rFont val="Tahoma"/>
            <family val="0"/>
          </rPr>
          <t>Source: 5
Table 7.2</t>
        </r>
      </text>
    </comment>
    <comment ref="AN23" authorId="0">
      <text>
        <r>
          <rPr>
            <b/>
            <sz val="8"/>
            <rFont val="Tahoma"/>
            <family val="0"/>
          </rPr>
          <t>Source: 5
Table 7.2</t>
        </r>
      </text>
    </comment>
    <comment ref="AD31" authorId="0">
      <text>
        <r>
          <rPr>
            <b/>
            <sz val="8"/>
            <rFont val="Tahoma"/>
            <family val="0"/>
          </rPr>
          <t>Source: 5
Table 7.1</t>
        </r>
      </text>
    </comment>
    <comment ref="AE31" authorId="0">
      <text>
        <r>
          <rPr>
            <b/>
            <sz val="8"/>
            <rFont val="Tahoma"/>
            <family val="0"/>
          </rPr>
          <t>Source: 5
Table 7.1</t>
        </r>
      </text>
    </comment>
    <comment ref="AF31" authorId="0">
      <text>
        <r>
          <rPr>
            <b/>
            <sz val="8"/>
            <rFont val="Tahoma"/>
            <family val="0"/>
          </rPr>
          <t>Source: 5
Table 7.1</t>
        </r>
      </text>
    </comment>
    <comment ref="AG31" authorId="0">
      <text>
        <r>
          <rPr>
            <b/>
            <sz val="8"/>
            <rFont val="Tahoma"/>
            <family val="0"/>
          </rPr>
          <t>Source: 5
Table TA 7.1</t>
        </r>
      </text>
    </comment>
    <comment ref="AH31" authorId="0">
      <text>
        <r>
          <rPr>
            <b/>
            <sz val="8"/>
            <rFont val="Tahoma"/>
            <family val="0"/>
          </rPr>
          <t>Source: 5
Table TA 7.1</t>
        </r>
      </text>
    </comment>
    <comment ref="AI31" authorId="0">
      <text>
        <r>
          <rPr>
            <b/>
            <sz val="8"/>
            <rFont val="Tahoma"/>
            <family val="0"/>
          </rPr>
          <t>Source: 5
Table TA 7.1</t>
        </r>
      </text>
    </comment>
    <comment ref="AM31" authorId="0">
      <text>
        <r>
          <rPr>
            <b/>
            <sz val="8"/>
            <rFont val="Tahoma"/>
            <family val="0"/>
          </rPr>
          <t>Source: 5
Table 7.2
"net annualized"</t>
        </r>
      </text>
    </comment>
    <comment ref="AN31" authorId="0">
      <text>
        <r>
          <rPr>
            <b/>
            <sz val="8"/>
            <rFont val="Tahoma"/>
            <family val="0"/>
          </rPr>
          <t>Source: 5
Table 7.2
"net annualized capacity savings"</t>
        </r>
      </text>
    </comment>
    <comment ref="AD43" authorId="0">
      <text>
        <r>
          <rPr>
            <b/>
            <sz val="8"/>
            <rFont val="Tahoma"/>
            <family val="0"/>
          </rPr>
          <t>Source: 5
Table 7.1</t>
        </r>
      </text>
    </comment>
    <comment ref="AE43" authorId="0">
      <text>
        <r>
          <rPr>
            <b/>
            <sz val="8"/>
            <rFont val="Tahoma"/>
            <family val="0"/>
          </rPr>
          <t>Source: 5
Table 7.1</t>
        </r>
      </text>
    </comment>
    <comment ref="AF43" authorId="0">
      <text>
        <r>
          <rPr>
            <b/>
            <sz val="8"/>
            <rFont val="Tahoma"/>
            <family val="0"/>
          </rPr>
          <t>Source: 5
Table 7.1</t>
        </r>
      </text>
    </comment>
    <comment ref="AG43" authorId="0">
      <text>
        <r>
          <rPr>
            <b/>
            <sz val="8"/>
            <rFont val="Tahoma"/>
            <family val="0"/>
          </rPr>
          <t>Source: 5
Table TA 7.1</t>
        </r>
      </text>
    </comment>
    <comment ref="AH43" authorId="0">
      <text>
        <r>
          <rPr>
            <b/>
            <sz val="8"/>
            <rFont val="Tahoma"/>
            <family val="0"/>
          </rPr>
          <t>Source: 5
Table TA 7.1</t>
        </r>
      </text>
    </comment>
    <comment ref="AI43" authorId="0">
      <text>
        <r>
          <rPr>
            <b/>
            <sz val="8"/>
            <rFont val="Tahoma"/>
            <family val="0"/>
          </rPr>
          <t>Source: 5
Table TA 7.1</t>
        </r>
      </text>
    </comment>
    <comment ref="AM43" authorId="0">
      <text>
        <r>
          <rPr>
            <b/>
            <sz val="8"/>
            <rFont val="Tahoma"/>
            <family val="0"/>
          </rPr>
          <t>Source: 5
Table 7.2
"net annualized"</t>
        </r>
        <r>
          <rPr>
            <sz val="8"/>
            <rFont val="Tahoma"/>
            <family val="0"/>
          </rPr>
          <t xml:space="preserve">
</t>
        </r>
      </text>
    </comment>
    <comment ref="AN43" authorId="0">
      <text>
        <r>
          <rPr>
            <b/>
            <sz val="8"/>
            <rFont val="Tahoma"/>
            <family val="0"/>
          </rPr>
          <t>Source: 5
Table 7.2
"net annualized capacity savings"</t>
        </r>
      </text>
    </comment>
    <comment ref="AD7" authorId="0">
      <text>
        <r>
          <rPr>
            <b/>
            <sz val="8"/>
            <rFont val="Tahoma"/>
            <family val="0"/>
          </rPr>
          <t>Source: 5
Table 7.1</t>
        </r>
      </text>
    </comment>
    <comment ref="AE7" authorId="0">
      <text>
        <r>
          <rPr>
            <b/>
            <sz val="8"/>
            <rFont val="Tahoma"/>
            <family val="0"/>
          </rPr>
          <t>Source: 5
Table 7.1</t>
        </r>
      </text>
    </comment>
    <comment ref="AF7" authorId="0">
      <text>
        <r>
          <rPr>
            <b/>
            <sz val="8"/>
            <rFont val="Tahoma"/>
            <family val="0"/>
          </rPr>
          <t>Source: 5
Table 7.1</t>
        </r>
      </text>
    </comment>
    <comment ref="AG7" authorId="0">
      <text>
        <r>
          <rPr>
            <b/>
            <sz val="8"/>
            <rFont val="Tahoma"/>
            <family val="0"/>
          </rPr>
          <t>Source: 5
Table TA 7.1</t>
        </r>
      </text>
    </comment>
    <comment ref="AH7" authorId="0">
      <text>
        <r>
          <rPr>
            <b/>
            <sz val="8"/>
            <rFont val="Tahoma"/>
            <family val="0"/>
          </rPr>
          <t>Source: 5
Table TA 7.1</t>
        </r>
      </text>
    </comment>
    <comment ref="AI7" authorId="0">
      <text>
        <r>
          <rPr>
            <b/>
            <sz val="8"/>
            <rFont val="Tahoma"/>
            <family val="0"/>
          </rPr>
          <t>Source: 5
Table TA 7.1</t>
        </r>
      </text>
    </comment>
    <comment ref="AM7" authorId="0">
      <text>
        <r>
          <rPr>
            <b/>
            <sz val="8"/>
            <rFont val="Tahoma"/>
            <family val="0"/>
          </rPr>
          <t>Source: 5
Table 7.2
"net annualized"</t>
        </r>
      </text>
    </comment>
    <comment ref="AN7" authorId="0">
      <text>
        <r>
          <rPr>
            <b/>
            <sz val="8"/>
            <rFont val="Tahoma"/>
            <family val="0"/>
          </rPr>
          <t>Source: 5
Table 7.2
"net annualized capacity savings"</t>
        </r>
      </text>
    </comment>
    <comment ref="AM19" authorId="0">
      <text>
        <r>
          <rPr>
            <b/>
            <sz val="8"/>
            <rFont val="Tahoma"/>
            <family val="0"/>
          </rPr>
          <t>Source: 5
Table 7.2
"net annualized"</t>
        </r>
      </text>
    </comment>
    <comment ref="AN19" authorId="0">
      <text>
        <r>
          <rPr>
            <b/>
            <sz val="8"/>
            <rFont val="Tahoma"/>
            <family val="0"/>
          </rPr>
          <t>Source: 5
Table 7.2
"net annualized capacity savings"</t>
        </r>
      </text>
    </comment>
    <comment ref="AM27" authorId="0">
      <text>
        <r>
          <rPr>
            <b/>
            <sz val="8"/>
            <rFont val="Tahoma"/>
            <family val="0"/>
          </rPr>
          <t>Source: 5
Table 7.2
"net annualized"</t>
        </r>
      </text>
    </comment>
    <comment ref="AN27" authorId="0">
      <text>
        <r>
          <rPr>
            <b/>
            <sz val="8"/>
            <rFont val="Tahoma"/>
            <family val="0"/>
          </rPr>
          <t>Source: 5
Table 7.2
"net annualized capacity savings"</t>
        </r>
      </text>
    </comment>
    <comment ref="AG8" authorId="0">
      <text>
        <r>
          <rPr>
            <b/>
            <sz val="8"/>
            <rFont val="Tahoma"/>
            <family val="0"/>
          </rPr>
          <t>Source: 3
AR, 7-17</t>
        </r>
      </text>
    </comment>
    <comment ref="AO8" authorId="0">
      <text>
        <r>
          <rPr>
            <b/>
            <sz val="8"/>
            <rFont val="Tahoma"/>
            <family val="0"/>
          </rPr>
          <t>Source: 3
AR, 7-18</t>
        </r>
      </text>
    </comment>
    <comment ref="AM10" authorId="0">
      <text>
        <r>
          <rPr>
            <b/>
            <sz val="8"/>
            <rFont val="Tahoma"/>
            <family val="0"/>
          </rPr>
          <t>Source: 7
Table 7.2</t>
        </r>
      </text>
    </comment>
    <comment ref="AM13" authorId="0">
      <text>
        <r>
          <rPr>
            <b/>
            <sz val="8"/>
            <rFont val="Tahoma"/>
            <family val="0"/>
          </rPr>
          <t>3,226 MWh acc to Source 2 as of 9/1/02</t>
        </r>
      </text>
    </comment>
    <comment ref="AI10" authorId="0">
      <text>
        <r>
          <rPr>
            <b/>
            <sz val="8"/>
            <rFont val="Tahoma"/>
            <family val="0"/>
          </rPr>
          <t>assume budgeted amount due to questionable reported data (negative amount)</t>
        </r>
      </text>
    </comment>
    <comment ref="AM8" authorId="0">
      <text>
        <r>
          <rPr>
            <b/>
            <sz val="8"/>
            <rFont val="Tahoma"/>
            <family val="0"/>
          </rPr>
          <t>Source: 3
AR, 7-18</t>
        </r>
      </text>
    </comment>
    <comment ref="AN8" authorId="0">
      <text>
        <r>
          <rPr>
            <b/>
            <sz val="8"/>
            <rFont val="Tahoma"/>
            <family val="0"/>
          </rPr>
          <t>Source: 3
AR, 7-18</t>
        </r>
      </text>
    </comment>
    <comment ref="AF14" authorId="0">
      <text>
        <r>
          <rPr>
            <b/>
            <sz val="8"/>
            <rFont val="Tahoma"/>
            <family val="0"/>
          </rPr>
          <t>Source: 7
Table 7</t>
        </r>
      </text>
    </comment>
    <comment ref="AI14" authorId="0">
      <text>
        <r>
          <rPr>
            <b/>
            <sz val="8"/>
            <rFont val="Tahoma"/>
            <family val="0"/>
          </rPr>
          <t>Source: 7
Table 7</t>
        </r>
      </text>
    </comment>
    <comment ref="AJ17" authorId="0">
      <text>
        <r>
          <rPr>
            <b/>
            <sz val="8"/>
            <rFont val="Tahoma"/>
            <family val="0"/>
          </rPr>
          <t>Source: 2
Page 6
(est. through 9/1/01)</t>
        </r>
      </text>
    </comment>
    <comment ref="AK17" authorId="0">
      <text>
        <r>
          <rPr>
            <b/>
            <sz val="8"/>
            <rFont val="Tahoma"/>
            <family val="0"/>
          </rPr>
          <t>Source: 2
Page 6
(est. through 9/1/01)</t>
        </r>
      </text>
    </comment>
    <comment ref="AF18" authorId="0">
      <text>
        <r>
          <rPr>
            <b/>
            <sz val="8"/>
            <rFont val="Tahoma"/>
            <family val="0"/>
          </rPr>
          <t>Source: 7
Table 7</t>
        </r>
      </text>
    </comment>
    <comment ref="AI18" authorId="0">
      <text>
        <r>
          <rPr>
            <b/>
            <sz val="8"/>
            <rFont val="Tahoma"/>
            <family val="0"/>
          </rPr>
          <t>Source: 7
Table 7</t>
        </r>
      </text>
    </comment>
    <comment ref="AG18" authorId="0">
      <text>
        <r>
          <rPr>
            <b/>
            <sz val="8"/>
            <rFont val="Tahoma"/>
            <family val="0"/>
          </rPr>
          <t>Source: 7
Table TA 7.1</t>
        </r>
      </text>
    </comment>
    <comment ref="AH18" authorId="0">
      <text>
        <r>
          <rPr>
            <b/>
            <sz val="8"/>
            <rFont val="Tahoma"/>
            <family val="0"/>
          </rPr>
          <t>Source: 7
Table TA 7.1</t>
        </r>
      </text>
    </comment>
    <comment ref="AM22" authorId="0">
      <text>
        <r>
          <rPr>
            <b/>
            <sz val="8"/>
            <rFont val="Tahoma"/>
            <family val="0"/>
          </rPr>
          <t>Source: 7
Table 7.2</t>
        </r>
      </text>
    </comment>
    <comment ref="AN22" authorId="0">
      <text>
        <r>
          <rPr>
            <b/>
            <sz val="8"/>
            <rFont val="Tahoma"/>
            <family val="0"/>
          </rPr>
          <t>Source: 7
Table 7.2</t>
        </r>
      </text>
    </comment>
    <comment ref="AO22" authorId="0">
      <text>
        <r>
          <rPr>
            <b/>
            <sz val="8"/>
            <rFont val="Tahoma"/>
            <family val="0"/>
          </rPr>
          <t>Source: 7
Table 7.2</t>
        </r>
      </text>
    </comment>
    <comment ref="AF22" authorId="0">
      <text>
        <r>
          <rPr>
            <b/>
            <sz val="8"/>
            <rFont val="Tahoma"/>
            <family val="0"/>
          </rPr>
          <t>Source: 7
Table 7</t>
        </r>
      </text>
    </comment>
    <comment ref="AG26" authorId="0">
      <text>
        <r>
          <rPr>
            <b/>
            <sz val="8"/>
            <rFont val="Tahoma"/>
            <family val="0"/>
          </rPr>
          <t>Source: 7
Table TA 7.1</t>
        </r>
      </text>
    </comment>
    <comment ref="AH26" authorId="0">
      <text>
        <r>
          <rPr>
            <b/>
            <sz val="8"/>
            <rFont val="Tahoma"/>
            <family val="0"/>
          </rPr>
          <t>Source: 7
Table TA 7.1</t>
        </r>
      </text>
    </comment>
    <comment ref="AI26" authorId="0">
      <text>
        <r>
          <rPr>
            <b/>
            <sz val="8"/>
            <rFont val="Tahoma"/>
            <family val="0"/>
          </rPr>
          <t>Source: 7
Table TA 7.1</t>
        </r>
      </text>
    </comment>
    <comment ref="AM30" authorId="0">
      <text>
        <r>
          <rPr>
            <b/>
            <sz val="8"/>
            <rFont val="Tahoma"/>
            <family val="0"/>
          </rPr>
          <t>Source: 7
Table 7.2</t>
        </r>
      </text>
    </comment>
    <comment ref="AN30" authorId="0">
      <text>
        <r>
          <rPr>
            <b/>
            <sz val="8"/>
            <rFont val="Tahoma"/>
            <family val="0"/>
          </rPr>
          <t>Source: 7
Table 7.2</t>
        </r>
      </text>
    </comment>
    <comment ref="AO30" authorId="0">
      <text>
        <r>
          <rPr>
            <b/>
            <sz val="8"/>
            <rFont val="Tahoma"/>
            <family val="0"/>
          </rPr>
          <t>Source: 7
Table 7.2</t>
        </r>
      </text>
    </comment>
    <comment ref="AI36" authorId="0">
      <text>
        <r>
          <rPr>
            <b/>
            <sz val="8"/>
            <rFont val="Tahoma"/>
            <family val="0"/>
          </rPr>
          <t>Source: 7
Table TA 7.1
(105 acc. to Source 2)</t>
        </r>
      </text>
    </comment>
    <comment ref="AG36" authorId="0">
      <text>
        <r>
          <rPr>
            <b/>
            <sz val="8"/>
            <rFont val="Tahoma"/>
            <family val="0"/>
          </rPr>
          <t>Source: 7
Table TA 7.1</t>
        </r>
      </text>
    </comment>
    <comment ref="AH36" authorId="0">
      <text>
        <r>
          <rPr>
            <b/>
            <sz val="8"/>
            <rFont val="Tahoma"/>
            <family val="0"/>
          </rPr>
          <t>Source: 7
Table TA 7.1</t>
        </r>
      </text>
    </comment>
    <comment ref="AF36" authorId="0">
      <text>
        <r>
          <rPr>
            <b/>
            <sz val="8"/>
            <rFont val="Tahoma"/>
            <family val="0"/>
          </rPr>
          <t>Source: 7
Table 7</t>
        </r>
      </text>
    </comment>
    <comment ref="AM42" authorId="0">
      <text>
        <r>
          <rPr>
            <b/>
            <sz val="8"/>
            <rFont val="Tahoma"/>
            <family val="0"/>
          </rPr>
          <t>Source: 7
Table 7.2</t>
        </r>
      </text>
    </comment>
    <comment ref="AN42" authorId="0">
      <text>
        <r>
          <rPr>
            <b/>
            <sz val="8"/>
            <rFont val="Tahoma"/>
            <family val="0"/>
          </rPr>
          <t>Source: 7
Table 7.2</t>
        </r>
      </text>
    </comment>
    <comment ref="AO42" authorId="0">
      <text>
        <r>
          <rPr>
            <b/>
            <sz val="8"/>
            <rFont val="Tahoma"/>
            <family val="0"/>
          </rPr>
          <t>Source: 7
Table 7.2</t>
        </r>
      </text>
    </comment>
    <comment ref="AG42" authorId="0">
      <text>
        <r>
          <rPr>
            <b/>
            <sz val="8"/>
            <rFont val="Tahoma"/>
            <family val="0"/>
          </rPr>
          <t>Source: 7
Table TA 7.1</t>
        </r>
      </text>
    </comment>
    <comment ref="AH42" authorId="0">
      <text>
        <r>
          <rPr>
            <b/>
            <sz val="8"/>
            <rFont val="Tahoma"/>
            <family val="0"/>
          </rPr>
          <t>Source: 7
Table TA 7.1</t>
        </r>
      </text>
    </comment>
    <comment ref="AI42" authorId="0">
      <text>
        <r>
          <rPr>
            <b/>
            <sz val="8"/>
            <rFont val="Tahoma"/>
            <family val="0"/>
          </rPr>
          <t>Source: 7
Table TA 7.1</t>
        </r>
      </text>
    </comment>
    <comment ref="AF30" authorId="0">
      <text>
        <r>
          <rPr>
            <b/>
            <sz val="8"/>
            <rFont val="Tahoma"/>
            <family val="0"/>
          </rPr>
          <t>Source: 7
Table 7</t>
        </r>
      </text>
    </comment>
    <comment ref="AI30" authorId="0">
      <text>
        <r>
          <rPr>
            <b/>
            <sz val="8"/>
            <rFont val="Tahoma"/>
            <family val="0"/>
          </rPr>
          <t>Source: 7
Table 7</t>
        </r>
      </text>
    </comment>
    <comment ref="AF8" authorId="0">
      <text>
        <r>
          <rPr>
            <b/>
            <sz val="8"/>
            <rFont val="Tahoma"/>
            <family val="0"/>
          </rPr>
          <t>Source: 3
AR, 7-17</t>
        </r>
      </text>
    </comment>
    <comment ref="AI8" authorId="0">
      <text>
        <r>
          <rPr>
            <b/>
            <sz val="8"/>
            <rFont val="Tahoma"/>
            <family val="0"/>
          </rPr>
          <t>Source: 3
Table 7.1</t>
        </r>
      </text>
    </comment>
    <comment ref="AM25" authorId="0">
      <text>
        <r>
          <rPr>
            <b/>
            <sz val="8"/>
            <rFont val="Tahoma"/>
            <family val="0"/>
          </rPr>
          <t>calculated
Source: 1
20,224 MWh</t>
        </r>
      </text>
    </comment>
    <comment ref="AN25" authorId="0">
      <text>
        <r>
          <rPr>
            <b/>
            <sz val="8"/>
            <rFont val="Tahoma"/>
            <family val="0"/>
          </rPr>
          <t>6 acc. To Source: 1</t>
        </r>
      </text>
    </comment>
    <comment ref="AM21" authorId="0">
      <text>
        <r>
          <rPr>
            <b/>
            <sz val="8"/>
            <rFont val="Tahoma"/>
            <family val="0"/>
          </rPr>
          <t xml:space="preserve">
Source: 1
17,692</t>
        </r>
      </text>
    </comment>
    <comment ref="AN21" authorId="0">
      <text>
        <r>
          <rPr>
            <b/>
            <sz val="8"/>
            <rFont val="Tahoma"/>
            <family val="0"/>
          </rPr>
          <t xml:space="preserve">
Source: 1
79 acc to </t>
        </r>
      </text>
    </comment>
    <comment ref="AM34" authorId="0">
      <text>
        <r>
          <rPr>
            <b/>
            <sz val="8"/>
            <rFont val="Tahoma"/>
            <family val="0"/>
          </rPr>
          <t xml:space="preserve">
Source: 1
23,686</t>
        </r>
      </text>
    </comment>
    <comment ref="AN34" authorId="0">
      <text>
        <r>
          <rPr>
            <b/>
            <sz val="8"/>
            <rFont val="Tahoma"/>
            <family val="0"/>
          </rPr>
          <t xml:space="preserve">
Source: 1
11</t>
        </r>
      </text>
    </comment>
    <comment ref="AM37" authorId="0">
      <text>
        <r>
          <rPr>
            <b/>
            <sz val="8"/>
            <rFont val="Tahoma"/>
            <family val="0"/>
          </rPr>
          <t>Source: 7
Table 7.2</t>
        </r>
      </text>
    </comment>
    <comment ref="AN37" authorId="0">
      <text>
        <r>
          <rPr>
            <b/>
            <sz val="8"/>
            <rFont val="Tahoma"/>
            <family val="0"/>
          </rPr>
          <t>Source: 7
Table 7.2</t>
        </r>
      </text>
    </comment>
    <comment ref="AF37" authorId="0">
      <text>
        <r>
          <rPr>
            <b/>
            <sz val="8"/>
            <rFont val="Tahoma"/>
            <family val="0"/>
          </rPr>
          <t>Source: 7
Table 7</t>
        </r>
      </text>
    </comment>
    <comment ref="AI37" authorId="0">
      <text>
        <r>
          <rPr>
            <b/>
            <sz val="8"/>
            <rFont val="Tahoma"/>
            <family val="0"/>
          </rPr>
          <t>Source: 7
Table 7</t>
        </r>
      </text>
    </comment>
    <comment ref="AF38" authorId="0">
      <text>
        <r>
          <rPr>
            <b/>
            <sz val="8"/>
            <rFont val="Tahoma"/>
            <family val="0"/>
          </rPr>
          <t>Source: 3
AR, 7-17</t>
        </r>
      </text>
    </comment>
    <comment ref="AI38" authorId="0">
      <text>
        <r>
          <rPr>
            <b/>
            <sz val="8"/>
            <rFont val="Tahoma"/>
            <family val="0"/>
          </rPr>
          <t>Source: 3
AR, 7-17</t>
        </r>
      </text>
    </comment>
    <comment ref="AM38" authorId="0">
      <text>
        <r>
          <rPr>
            <b/>
            <sz val="8"/>
            <rFont val="Tahoma"/>
            <family val="0"/>
          </rPr>
          <t>Source: 3
AR, 7-18</t>
        </r>
      </text>
    </comment>
    <comment ref="AN38" authorId="0">
      <text>
        <r>
          <rPr>
            <b/>
            <sz val="8"/>
            <rFont val="Tahoma"/>
            <family val="0"/>
          </rPr>
          <t>Source: 3
AR, 7-18</t>
        </r>
      </text>
    </comment>
    <comment ref="AF39" authorId="0">
      <text>
        <r>
          <rPr>
            <b/>
            <sz val="8"/>
            <rFont val="Tahoma"/>
            <family val="0"/>
          </rPr>
          <t>Source: 3
AR, 7-17</t>
        </r>
      </text>
    </comment>
    <comment ref="AI39" authorId="0">
      <text>
        <r>
          <rPr>
            <b/>
            <sz val="8"/>
            <rFont val="Tahoma"/>
            <family val="0"/>
          </rPr>
          <t>Source: 3
AR, 7-17</t>
        </r>
      </text>
    </comment>
    <comment ref="AJ39" authorId="0">
      <text>
        <r>
          <rPr>
            <b/>
            <sz val="8"/>
            <rFont val="Tahoma"/>
            <family val="0"/>
          </rPr>
          <t>Source: 3
(AR, 7-15)</t>
        </r>
      </text>
    </comment>
    <comment ref="AK39" authorId="0">
      <text>
        <r>
          <rPr>
            <b/>
            <sz val="8"/>
            <rFont val="Tahoma"/>
            <family val="0"/>
          </rPr>
          <t>Source: 3
(AR, 7-15)</t>
        </r>
      </text>
    </comment>
    <comment ref="AM39" authorId="0">
      <text>
        <r>
          <rPr>
            <b/>
            <sz val="8"/>
            <rFont val="Tahoma"/>
            <family val="0"/>
          </rPr>
          <t>Source: 3
AR, 7-18</t>
        </r>
      </text>
    </comment>
    <comment ref="AN39" authorId="0">
      <text>
        <r>
          <rPr>
            <b/>
            <sz val="8"/>
            <rFont val="Tahoma"/>
            <family val="0"/>
          </rPr>
          <t>Source: 3
AR, 7-18</t>
        </r>
      </text>
    </comment>
    <comment ref="AF40" authorId="0">
      <text>
        <r>
          <rPr>
            <b/>
            <sz val="8"/>
            <rFont val="Tahoma"/>
            <family val="0"/>
          </rPr>
          <t>Source: 3
AR, 7-17</t>
        </r>
      </text>
    </comment>
    <comment ref="AI40" authorId="0">
      <text>
        <r>
          <rPr>
            <b/>
            <sz val="8"/>
            <rFont val="Tahoma"/>
            <family val="0"/>
          </rPr>
          <t>Source: 3
AR, 7-17</t>
        </r>
      </text>
    </comment>
    <comment ref="AJ40" authorId="0">
      <text>
        <r>
          <rPr>
            <b/>
            <sz val="8"/>
            <rFont val="Tahoma"/>
            <family val="0"/>
          </rPr>
          <t>Source: 3
(AR, 7-14)</t>
        </r>
      </text>
    </comment>
    <comment ref="AK40" authorId="0">
      <text>
        <r>
          <rPr>
            <b/>
            <sz val="8"/>
            <rFont val="Tahoma"/>
            <family val="0"/>
          </rPr>
          <t>Source: 3
(AR, 7-14)</t>
        </r>
      </text>
    </comment>
    <comment ref="AM40" authorId="0">
      <text>
        <r>
          <rPr>
            <b/>
            <sz val="8"/>
            <rFont val="Tahoma"/>
            <family val="0"/>
          </rPr>
          <t>Source: 3
AR, 7-18</t>
        </r>
      </text>
    </comment>
    <comment ref="AN40" authorId="0">
      <text>
        <r>
          <rPr>
            <b/>
            <sz val="8"/>
            <rFont val="Tahoma"/>
            <family val="0"/>
          </rPr>
          <t>Source: 3
AR, 7-18</t>
        </r>
      </text>
    </comment>
    <comment ref="AF41" authorId="0">
      <text>
        <r>
          <rPr>
            <b/>
            <sz val="8"/>
            <rFont val="Tahoma"/>
            <family val="0"/>
          </rPr>
          <t>Source: 3
AR, 7-17</t>
        </r>
      </text>
    </comment>
    <comment ref="AI41" authorId="0">
      <text>
        <r>
          <rPr>
            <b/>
            <sz val="8"/>
            <rFont val="Tahoma"/>
            <family val="0"/>
          </rPr>
          <t>Source: 3
AR, 7-17</t>
        </r>
      </text>
    </comment>
    <comment ref="AJ41" authorId="0">
      <text>
        <r>
          <rPr>
            <b/>
            <sz val="8"/>
            <rFont val="Tahoma"/>
            <family val="0"/>
          </rPr>
          <t>Source: 3
(AR, 7-15)</t>
        </r>
      </text>
    </comment>
    <comment ref="AK41" authorId="0">
      <text>
        <r>
          <rPr>
            <b/>
            <sz val="8"/>
            <rFont val="Tahoma"/>
            <family val="0"/>
          </rPr>
          <t>Source: 3
(AR, 7-15)</t>
        </r>
      </text>
    </comment>
    <comment ref="AM41" authorId="0">
      <text>
        <r>
          <rPr>
            <b/>
            <sz val="8"/>
            <rFont val="Tahoma"/>
            <family val="0"/>
          </rPr>
          <t>Source: 3
AR, 7-18</t>
        </r>
      </text>
    </comment>
    <comment ref="AN41" authorId="0">
      <text>
        <r>
          <rPr>
            <b/>
            <sz val="8"/>
            <rFont val="Tahoma"/>
            <family val="0"/>
          </rPr>
          <t>Source: 3
AR, 7-18</t>
        </r>
      </text>
    </comment>
    <comment ref="AF44" authorId="0">
      <text>
        <r>
          <rPr>
            <b/>
            <sz val="8"/>
            <rFont val="Tahoma"/>
            <family val="0"/>
          </rPr>
          <t>Source: 3
AR, 7-17
PG&amp;E provided extra funding beyond the $3.5M authorized by the CPUC</t>
        </r>
      </text>
    </comment>
    <comment ref="AI44" authorId="0">
      <text>
        <r>
          <rPr>
            <b/>
            <sz val="8"/>
            <rFont val="Tahoma"/>
            <family val="0"/>
          </rPr>
          <t>Source: 3
AR, 7-17</t>
        </r>
      </text>
    </comment>
    <comment ref="AK44" authorId="0">
      <text>
        <r>
          <rPr>
            <b/>
            <sz val="8"/>
            <rFont val="Tahoma"/>
            <family val="0"/>
          </rPr>
          <t>Source: 3
(AR, 7-9)</t>
        </r>
      </text>
    </comment>
    <comment ref="AM44" authorId="0">
      <text>
        <r>
          <rPr>
            <b/>
            <sz val="8"/>
            <rFont val="Tahoma"/>
            <family val="0"/>
          </rPr>
          <t>Source: 3
AR, 7-18</t>
        </r>
      </text>
    </comment>
    <comment ref="AN44" authorId="0">
      <text>
        <r>
          <rPr>
            <b/>
            <sz val="8"/>
            <rFont val="Tahoma"/>
            <family val="0"/>
          </rPr>
          <t>Source: 3
AR, 7-18</t>
        </r>
      </text>
    </comment>
    <comment ref="AF12" authorId="0">
      <text>
        <r>
          <rPr>
            <b/>
            <sz val="8"/>
            <rFont val="Tahoma"/>
            <family val="0"/>
          </rPr>
          <t>Source: 3
(AR, 7-17)</t>
        </r>
      </text>
    </comment>
    <comment ref="AI12" authorId="0">
      <text>
        <r>
          <rPr>
            <b/>
            <sz val="8"/>
            <rFont val="Tahoma"/>
            <family val="0"/>
          </rPr>
          <t>Source: 3
(Table TA 7.1)</t>
        </r>
      </text>
    </comment>
    <comment ref="AK12" authorId="0">
      <text>
        <r>
          <rPr>
            <b/>
            <sz val="8"/>
            <rFont val="Tahoma"/>
            <family val="0"/>
          </rPr>
          <t>Source: 3
(AR, 7-3)
Goal for program in PG&amp;E service territory</t>
        </r>
      </text>
    </comment>
    <comment ref="AM12" authorId="0">
      <text>
        <r>
          <rPr>
            <b/>
            <sz val="8"/>
            <rFont val="Tahoma"/>
            <family val="0"/>
          </rPr>
          <t>Source: 3
AR, 7-18</t>
        </r>
      </text>
    </comment>
    <comment ref="AN12" authorId="0">
      <text>
        <r>
          <rPr>
            <b/>
            <sz val="8"/>
            <rFont val="Tahoma"/>
            <family val="0"/>
          </rPr>
          <t>Source: 3
AR, 7-18</t>
        </r>
      </text>
    </comment>
    <comment ref="AF16" authorId="0">
      <text>
        <r>
          <rPr>
            <b/>
            <sz val="8"/>
            <rFont val="Tahoma"/>
            <family val="0"/>
          </rPr>
          <t>Source: 3
AR, 7-17</t>
        </r>
      </text>
    </comment>
    <comment ref="AI16" authorId="0">
      <text>
        <r>
          <rPr>
            <b/>
            <sz val="8"/>
            <rFont val="Tahoma"/>
            <family val="0"/>
          </rPr>
          <t>Source: 3
(Table TA 7.1)</t>
        </r>
      </text>
    </comment>
    <comment ref="AK16" authorId="0">
      <text>
        <r>
          <rPr>
            <b/>
            <sz val="8"/>
            <rFont val="Tahoma"/>
            <family val="0"/>
          </rPr>
          <t>Source: 3
(AR, 7-4)
Goal for program in PG&amp;E service territory</t>
        </r>
      </text>
    </comment>
    <comment ref="AM16" authorId="0">
      <text>
        <r>
          <rPr>
            <b/>
            <sz val="8"/>
            <rFont val="Tahoma"/>
            <family val="0"/>
          </rPr>
          <t>Source: 3
AR, 7-18</t>
        </r>
      </text>
    </comment>
    <comment ref="AN16" authorId="0">
      <text>
        <r>
          <rPr>
            <b/>
            <sz val="8"/>
            <rFont val="Tahoma"/>
            <family val="0"/>
          </rPr>
          <t>Source: 3
AR, 7-18</t>
        </r>
      </text>
    </comment>
    <comment ref="AF20" authorId="0">
      <text>
        <r>
          <rPr>
            <b/>
            <sz val="8"/>
            <rFont val="Tahoma"/>
            <family val="0"/>
          </rPr>
          <t>Source: 3
AR, 7-17</t>
        </r>
      </text>
    </comment>
    <comment ref="AG20" authorId="0">
      <text>
        <r>
          <rPr>
            <b/>
            <sz val="8"/>
            <rFont val="Tahoma"/>
            <family val="0"/>
          </rPr>
          <t>Source: 3
(Table TA 7.1)</t>
        </r>
      </text>
    </comment>
    <comment ref="AH20" authorId="0">
      <text>
        <r>
          <rPr>
            <b/>
            <sz val="8"/>
            <rFont val="Tahoma"/>
            <family val="0"/>
          </rPr>
          <t>Source: 3
(Table TA 7.1)</t>
        </r>
      </text>
    </comment>
    <comment ref="AK20" authorId="0">
      <text>
        <r>
          <rPr>
            <b/>
            <sz val="8"/>
            <rFont val="Tahoma"/>
            <family val="0"/>
          </rPr>
          <t>Source: 3
(AR, 7-5)
Goal for program in PG&amp;E service territory</t>
        </r>
      </text>
    </comment>
    <comment ref="AM20" authorId="0">
      <text>
        <r>
          <rPr>
            <b/>
            <sz val="8"/>
            <rFont val="Tahoma"/>
            <family val="0"/>
          </rPr>
          <t>Source: 3
AR, 7-18</t>
        </r>
      </text>
    </comment>
    <comment ref="AN20" authorId="0">
      <text>
        <r>
          <rPr>
            <b/>
            <sz val="8"/>
            <rFont val="Tahoma"/>
            <family val="0"/>
          </rPr>
          <t>Source: 3
AR, 7-18</t>
        </r>
      </text>
    </comment>
    <comment ref="AF24" authorId="0">
      <text>
        <r>
          <rPr>
            <b/>
            <sz val="8"/>
            <rFont val="Tahoma"/>
            <family val="0"/>
          </rPr>
          <t>Source: 3
AR, 7-17</t>
        </r>
      </text>
    </comment>
    <comment ref="AI24" authorId="0">
      <text>
        <r>
          <rPr>
            <b/>
            <sz val="8"/>
            <rFont val="Tahoma"/>
            <family val="0"/>
          </rPr>
          <t>Source: 3
AR, 7-17</t>
        </r>
      </text>
    </comment>
    <comment ref="AJ24" authorId="0">
      <text>
        <r>
          <rPr>
            <b/>
            <sz val="8"/>
            <rFont val="Tahoma"/>
            <family val="0"/>
          </rPr>
          <t>Source: 3
(AR, 7-6)
Goal for program in PG&amp;E service territory</t>
        </r>
      </text>
    </comment>
    <comment ref="AK24" authorId="0">
      <text>
        <r>
          <rPr>
            <b/>
            <sz val="8"/>
            <rFont val="Tahoma"/>
            <family val="0"/>
          </rPr>
          <t>Source: 3
(AR, 7-6)
Goal for program in PG&amp;E service territory</t>
        </r>
      </text>
    </comment>
    <comment ref="AM24" authorId="0">
      <text>
        <r>
          <rPr>
            <b/>
            <sz val="8"/>
            <rFont val="Tahoma"/>
            <family val="0"/>
          </rPr>
          <t>Source: 3
AR, 7-18</t>
        </r>
      </text>
    </comment>
    <comment ref="AN24" authorId="0">
      <text>
        <r>
          <rPr>
            <b/>
            <sz val="8"/>
            <rFont val="Tahoma"/>
            <family val="0"/>
          </rPr>
          <t>Source: 3
AR, 7-18</t>
        </r>
      </text>
    </comment>
    <comment ref="AF32" authorId="0">
      <text>
        <r>
          <rPr>
            <b/>
            <sz val="8"/>
            <rFont val="Tahoma"/>
            <family val="0"/>
          </rPr>
          <t>Source: 3
AR, 7-17</t>
        </r>
      </text>
    </comment>
    <comment ref="AI32" authorId="0">
      <text>
        <r>
          <rPr>
            <b/>
            <sz val="8"/>
            <rFont val="Tahoma"/>
            <family val="0"/>
          </rPr>
          <t>Source: 3
AR, 7-17</t>
        </r>
      </text>
    </comment>
    <comment ref="AM32" authorId="0">
      <text>
        <r>
          <rPr>
            <b/>
            <sz val="8"/>
            <rFont val="Tahoma"/>
            <family val="0"/>
          </rPr>
          <t>Source: 3
AR, 7-18</t>
        </r>
      </text>
    </comment>
    <comment ref="AN32" authorId="0">
      <text>
        <r>
          <rPr>
            <b/>
            <sz val="8"/>
            <rFont val="Tahoma"/>
            <family val="0"/>
          </rPr>
          <t>Source: 3
AR, 7-18</t>
        </r>
      </text>
    </comment>
    <comment ref="AF28" authorId="0">
      <text>
        <r>
          <rPr>
            <b/>
            <sz val="8"/>
            <rFont val="Tahoma"/>
            <family val="0"/>
          </rPr>
          <t>Source: 3
AR, 7-17</t>
        </r>
      </text>
    </comment>
    <comment ref="AG28" authorId="0">
      <text>
        <r>
          <rPr>
            <b/>
            <sz val="8"/>
            <rFont val="Tahoma"/>
            <family val="0"/>
          </rPr>
          <t>Source: 3
AR, 7-17</t>
        </r>
      </text>
    </comment>
    <comment ref="AH28" authorId="0">
      <text>
        <r>
          <rPr>
            <b/>
            <sz val="8"/>
            <rFont val="Tahoma"/>
            <family val="0"/>
          </rPr>
          <t>Source: 3
AR, 7-17</t>
        </r>
      </text>
    </comment>
    <comment ref="AI28" authorId="0">
      <text>
        <r>
          <rPr>
            <b/>
            <sz val="8"/>
            <rFont val="Tahoma"/>
            <family val="0"/>
          </rPr>
          <t>Source: 3
AR, 7-17</t>
        </r>
      </text>
    </comment>
    <comment ref="AM28" authorId="0">
      <text>
        <r>
          <rPr>
            <b/>
            <sz val="8"/>
            <rFont val="Tahoma"/>
            <family val="0"/>
          </rPr>
          <t>Source: 3
AR, 7-18</t>
        </r>
        <r>
          <rPr>
            <sz val="8"/>
            <rFont val="Tahoma"/>
            <family val="0"/>
          </rPr>
          <t xml:space="preserve">
</t>
        </r>
      </text>
    </comment>
    <comment ref="AN28" authorId="0">
      <text>
        <r>
          <rPr>
            <b/>
            <sz val="8"/>
            <rFont val="Tahoma"/>
            <family val="0"/>
          </rPr>
          <t>Source: 3
AR, 7-18</t>
        </r>
      </text>
    </comment>
  </commentList>
</comments>
</file>

<file path=xl/comments9.xml><?xml version="1.0" encoding="utf-8"?>
<comments xmlns="http://schemas.openxmlformats.org/spreadsheetml/2006/main">
  <authors>
    <author>Omar Siddiqui</author>
  </authors>
  <commentList>
    <comment ref="AJ10" authorId="0">
      <text>
        <r>
          <rPr>
            <b/>
            <sz val="8"/>
            <rFont val="Tahoma"/>
            <family val="0"/>
          </rPr>
          <t>Source: 1, 11, 12</t>
        </r>
      </text>
    </comment>
    <comment ref="AJ6" authorId="0">
      <text>
        <r>
          <rPr>
            <b/>
            <sz val="8"/>
            <rFont val="Tahoma"/>
            <family val="0"/>
          </rPr>
          <t>Source: 10
11/4/02
Nexant 1/7/02 Tracking Report</t>
        </r>
      </text>
    </comment>
    <comment ref="AM6" authorId="0">
      <text>
        <r>
          <rPr>
            <b/>
            <sz val="8"/>
            <rFont val="Tahoma"/>
            <family val="0"/>
          </rPr>
          <t>Source: 10
For projects completed in 2001</t>
        </r>
      </text>
    </comment>
    <comment ref="AM8" authorId="0">
      <text>
        <r>
          <rPr>
            <b/>
            <sz val="8"/>
            <rFont val="Tahoma"/>
            <family val="0"/>
          </rPr>
          <t>Source: 10 &amp; 11
"Verified" by Nexant</t>
        </r>
      </text>
    </comment>
    <comment ref="AM9" authorId="0">
      <text>
        <r>
          <rPr>
            <b/>
            <sz val="8"/>
            <rFont val="Tahoma"/>
            <family val="0"/>
          </rPr>
          <t>Source: 10, 11
23.6 MW "Verified" by Nexant (AB 970 funded projects only) + 13.5 "Reported" for SB 5X projects</t>
        </r>
      </text>
    </comment>
    <comment ref="AJ7" authorId="0">
      <text>
        <r>
          <rPr>
            <b/>
            <sz val="8"/>
            <rFont val="Tahoma"/>
            <family val="0"/>
          </rPr>
          <t xml:space="preserve">Source: 10 11/4/02; Based on Nexant Tracking Report, 1/7/02
</t>
        </r>
      </text>
    </comment>
    <comment ref="AM7" authorId="0">
      <text>
        <r>
          <rPr>
            <b/>
            <sz val="8"/>
            <rFont val="Tahoma"/>
            <family val="0"/>
          </rPr>
          <t>Source: 13
Interview with Virginia Lew of CEC, September 2002
**NOTE**
3.9 MW "Verified" by Nexant, 11/01.
(Source: 10)</t>
        </r>
      </text>
    </comment>
    <comment ref="AM14" authorId="0">
      <text>
        <r>
          <rPr>
            <b/>
            <sz val="8"/>
            <rFont val="Tahoma"/>
            <family val="0"/>
          </rPr>
          <t>Source: 11
Excludes 27.76MW of demand reduction through curtailment, which was deemed outside of project scope</t>
        </r>
      </text>
    </comment>
    <comment ref="AJ14" authorId="0">
      <text>
        <r>
          <rPr>
            <b/>
            <sz val="8"/>
            <rFont val="Tahoma"/>
            <family val="0"/>
          </rPr>
          <t>Source 1</t>
        </r>
      </text>
    </comment>
    <comment ref="AH13" authorId="0">
      <text>
        <r>
          <rPr>
            <b/>
            <sz val="8"/>
            <rFont val="Tahoma"/>
            <family val="0"/>
          </rPr>
          <t>Source: 10
11/4/02;
Based on Nexant Tracking Report, 1/7/02</t>
        </r>
      </text>
    </comment>
    <comment ref="AJ13" authorId="0">
      <text>
        <r>
          <rPr>
            <b/>
            <sz val="8"/>
            <rFont val="Tahoma"/>
            <family val="0"/>
          </rPr>
          <t>Source: 10
11/4/02;
based on Nexant Tracking Report, 1/7/02</t>
        </r>
      </text>
    </comment>
    <comment ref="AM13" authorId="0">
      <text>
        <r>
          <rPr>
            <b/>
            <sz val="8"/>
            <rFont val="Tahoma"/>
            <family val="0"/>
          </rPr>
          <t>Source: 10
11/4/02;
Demand reduction due to EE efforts only - "Verified" by Nexant
**NOTE**
42.9 MW total verified reduction:
-   1.3 EE
- 37.8 curtailment
-   1.4 load shifting
-   2.3 generation
(Source: 10, 22)</t>
        </r>
      </text>
    </comment>
    <comment ref="AH18" authorId="0">
      <text>
        <r>
          <rPr>
            <sz val="8"/>
            <rFont val="Tahoma"/>
            <family val="0"/>
          </rPr>
          <t>Source 14.
Grants allocations to be disbursed Q3 or Q4 2002</t>
        </r>
      </text>
    </comment>
    <comment ref="AH17" authorId="0">
      <text>
        <r>
          <rPr>
            <b/>
            <sz val="8"/>
            <rFont val="Tahoma"/>
            <family val="0"/>
          </rPr>
          <t>Source 1</t>
        </r>
      </text>
    </comment>
    <comment ref="AJ17" authorId="0">
      <text>
        <r>
          <rPr>
            <b/>
            <sz val="8"/>
            <rFont val="Tahoma"/>
            <family val="0"/>
          </rPr>
          <t>Source 1</t>
        </r>
      </text>
    </comment>
    <comment ref="AM17" authorId="0">
      <text>
        <r>
          <rPr>
            <b/>
            <sz val="8"/>
            <rFont val="Tahoma"/>
            <family val="0"/>
          </rPr>
          <t>Source 11</t>
        </r>
      </text>
    </comment>
    <comment ref="AM10" authorId="0">
      <text>
        <r>
          <rPr>
            <b/>
            <sz val="8"/>
            <rFont val="Tahoma"/>
            <family val="2"/>
          </rPr>
          <t>Source 11
Note:
excludes 4.3 MW of reduction from load management and curtailment</t>
        </r>
      </text>
    </comment>
    <comment ref="AH6" authorId="0">
      <text>
        <r>
          <rPr>
            <b/>
            <sz val="8"/>
            <rFont val="Tahoma"/>
            <family val="0"/>
          </rPr>
          <t>Source: 10
11/4/02
Amount expended on projects completed in 2001</t>
        </r>
      </text>
    </comment>
    <comment ref="AH12" authorId="0">
      <text>
        <r>
          <rPr>
            <b/>
            <sz val="8"/>
            <rFont val="Tahoma"/>
            <family val="0"/>
          </rPr>
          <t>Source: 10
11/4/02;
based on Nexant Tracking Report, 1/7/02</t>
        </r>
      </text>
    </comment>
    <comment ref="AJ12" authorId="0">
      <text>
        <r>
          <rPr>
            <b/>
            <sz val="8"/>
            <rFont val="Tahoma"/>
            <family val="0"/>
          </rPr>
          <t>Source: 15, 10
No breakdown of forecasted goal  by efficiency and curtailment.</t>
        </r>
      </text>
    </comment>
    <comment ref="AM12" authorId="0">
      <text>
        <r>
          <rPr>
            <b/>
            <sz val="8"/>
            <rFont val="Tahoma"/>
            <family val="2"/>
          </rPr>
          <t>Source: 10
11/4/02;
Includes only verified demand reduction attributed to "Efficiency"</t>
        </r>
      </text>
    </comment>
    <comment ref="AH7" authorId="0">
      <text>
        <r>
          <rPr>
            <b/>
            <sz val="8"/>
            <rFont val="Tahoma"/>
            <family val="0"/>
          </rPr>
          <t>Source: 10
11/4/02; from Nexant Tracking Report, 1/7/02</t>
        </r>
      </text>
    </comment>
    <comment ref="AE6" authorId="0">
      <text>
        <r>
          <rPr>
            <b/>
            <sz val="8"/>
            <rFont val="Tahoma"/>
            <family val="0"/>
          </rPr>
          <t>Source: 12</t>
        </r>
      </text>
    </comment>
    <comment ref="AE9" authorId="0">
      <text>
        <r>
          <rPr>
            <sz val="8"/>
            <rFont val="Tahoma"/>
            <family val="0"/>
          </rPr>
          <t>Source 12</t>
        </r>
      </text>
    </comment>
    <comment ref="AE10" authorId="0">
      <text>
        <r>
          <rPr>
            <b/>
            <sz val="8"/>
            <rFont val="Tahoma"/>
            <family val="0"/>
          </rPr>
          <t>Source: 10
11/4/02; based on Nexant Tracking Report, 1/7/02</t>
        </r>
      </text>
    </comment>
    <comment ref="AE12" authorId="0">
      <text>
        <r>
          <rPr>
            <b/>
            <sz val="8"/>
            <rFont val="Tahoma"/>
            <family val="0"/>
          </rPr>
          <t>Source: 10
11/4/02</t>
        </r>
      </text>
    </comment>
    <comment ref="AE18" authorId="0">
      <text>
        <r>
          <rPr>
            <b/>
            <sz val="8"/>
            <rFont val="Tahoma"/>
            <family val="0"/>
          </rPr>
          <t xml:space="preserve">Source 14.
Funds from SB84xx spread from 2001 to 2004
</t>
        </r>
      </text>
    </comment>
    <comment ref="AE7" authorId="0">
      <text>
        <r>
          <rPr>
            <b/>
            <sz val="8"/>
            <rFont val="Tahoma"/>
            <family val="0"/>
          </rPr>
          <t xml:space="preserve">Source: 10
11/4/02
Source: 22, Appdx G-I, p.1
</t>
        </r>
      </text>
    </comment>
    <comment ref="AH10" authorId="0">
      <text>
        <r>
          <rPr>
            <b/>
            <sz val="8"/>
            <rFont val="Tahoma"/>
            <family val="0"/>
          </rPr>
          <t>Source: 10
11/4/02; based on Nexant Tracking Report, 1/7/02
"expended in 2001"</t>
        </r>
      </text>
    </comment>
    <comment ref="AE14" authorId="0">
      <text>
        <r>
          <rPr>
            <b/>
            <sz val="8"/>
            <rFont val="Tahoma"/>
            <family val="0"/>
          </rPr>
          <t>Source: 1</t>
        </r>
      </text>
    </comment>
    <comment ref="AH14" authorId="0">
      <text>
        <r>
          <rPr>
            <b/>
            <sz val="8"/>
            <rFont val="Tahoma"/>
            <family val="0"/>
          </rPr>
          <t xml:space="preserve">Source: 10
11/4/02;
Based on Nexant Tracking report, 1/7/02
</t>
        </r>
      </text>
    </comment>
    <comment ref="AE8" authorId="0">
      <text>
        <r>
          <rPr>
            <b/>
            <sz val="8"/>
            <rFont val="Tahoma"/>
            <family val="0"/>
          </rPr>
          <t>Source: 10
11/4/02</t>
        </r>
      </text>
    </comment>
    <comment ref="AH8" authorId="0">
      <text>
        <r>
          <rPr>
            <b/>
            <sz val="8"/>
            <rFont val="Tahoma"/>
            <family val="0"/>
          </rPr>
          <t>Source: 10
11/4/02; Based on Nexant Tracking Report 1/7/02</t>
        </r>
      </text>
    </comment>
    <comment ref="AL10" authorId="0">
      <text>
        <r>
          <rPr>
            <b/>
            <sz val="8"/>
            <rFont val="Tahoma"/>
            <family val="0"/>
          </rPr>
          <t>Source: 10</t>
        </r>
      </text>
    </comment>
    <comment ref="AL9" authorId="0">
      <text>
        <r>
          <rPr>
            <b/>
            <sz val="8"/>
            <rFont val="Tahoma"/>
            <family val="0"/>
          </rPr>
          <t>Source: 10</t>
        </r>
      </text>
    </comment>
    <comment ref="AL14" authorId="0">
      <text>
        <r>
          <rPr>
            <b/>
            <sz val="8"/>
            <rFont val="Tahoma"/>
            <family val="0"/>
          </rPr>
          <t>Source: 10
11/4/02;
excludes 450 MWh savings due to curtailment</t>
        </r>
      </text>
    </comment>
    <comment ref="AL13" authorId="0">
      <text>
        <r>
          <rPr>
            <b/>
            <sz val="8"/>
            <rFont val="Tahoma"/>
            <family val="0"/>
          </rPr>
          <t>Source: 10</t>
        </r>
      </text>
    </comment>
    <comment ref="AL7" authorId="0">
      <text>
        <r>
          <rPr>
            <b/>
            <sz val="8"/>
            <rFont val="Tahoma"/>
            <family val="0"/>
          </rPr>
          <t>Source: 10</t>
        </r>
      </text>
    </comment>
    <comment ref="AL6" authorId="0">
      <text>
        <r>
          <rPr>
            <b/>
            <sz val="8"/>
            <rFont val="Tahoma"/>
            <family val="0"/>
          </rPr>
          <t>Source: 10
For projects completed in 2001</t>
        </r>
      </text>
    </comment>
    <comment ref="AC6" authorId="0">
      <text>
        <r>
          <rPr>
            <b/>
            <sz val="8"/>
            <rFont val="Tahoma"/>
            <family val="0"/>
          </rPr>
          <t>Source: 10
11/4/02</t>
        </r>
      </text>
    </comment>
    <comment ref="AD6" authorId="0">
      <text>
        <r>
          <rPr>
            <b/>
            <sz val="8"/>
            <rFont val="Tahoma"/>
            <family val="0"/>
          </rPr>
          <t>Source: 10
11/4/02</t>
        </r>
      </text>
    </comment>
    <comment ref="AJ8" authorId="0">
      <text>
        <r>
          <rPr>
            <b/>
            <sz val="8"/>
            <rFont val="Tahoma"/>
            <family val="0"/>
          </rPr>
          <t xml:space="preserve">Source: 10
11/4/02; Based on Nexant Tracking Report, 1/7/02
</t>
        </r>
      </text>
    </comment>
    <comment ref="AL8" authorId="0">
      <text>
        <r>
          <rPr>
            <b/>
            <sz val="8"/>
            <rFont val="Tahoma"/>
            <family val="0"/>
          </rPr>
          <t>Source: 10
11/4/02;
from CEC Annual kWh Database</t>
        </r>
      </text>
    </comment>
    <comment ref="AH9" authorId="0">
      <text>
        <r>
          <rPr>
            <b/>
            <sz val="8"/>
            <rFont val="Tahoma"/>
            <family val="0"/>
          </rPr>
          <t xml:space="preserve">Source: 10
11/4/02;
"Expended in 2001"
$10.8M from SB 5X + $3.2 from AB 970; Based on Nexant Tracking Report, 1/7/02
</t>
        </r>
      </text>
    </comment>
    <comment ref="AJ9" authorId="0">
      <text>
        <r>
          <rPr>
            <b/>
            <sz val="8"/>
            <rFont val="Tahoma"/>
            <family val="0"/>
          </rPr>
          <t>Source: 10
11/4/02; 120MW from SB 5X and 32 MW from AB 970</t>
        </r>
      </text>
    </comment>
    <comment ref="AS10" authorId="0">
      <text>
        <r>
          <rPr>
            <b/>
            <sz val="8"/>
            <rFont val="Tahoma"/>
            <family val="0"/>
          </rPr>
          <t>Figure skewed because demand savings from load management were excluded, while there was no data to exclude funding for load management vs. energy efficiency.</t>
        </r>
      </text>
    </comment>
    <comment ref="AE13" authorId="0">
      <text>
        <r>
          <rPr>
            <b/>
            <sz val="8"/>
            <rFont val="Tahoma"/>
            <family val="0"/>
          </rPr>
          <t>Source: 10
11/4/02</t>
        </r>
      </text>
    </comment>
    <comment ref="AE11" authorId="0">
      <text>
        <r>
          <rPr>
            <b/>
            <sz val="8"/>
            <rFont val="Tahoma"/>
            <family val="0"/>
          </rPr>
          <t>Source: 10
11/4/02; based on Nexant Tracking Report, 1/7/02</t>
        </r>
      </text>
    </comment>
    <comment ref="AH11" authorId="0">
      <text>
        <r>
          <rPr>
            <b/>
            <sz val="8"/>
            <rFont val="Tahoma"/>
            <family val="0"/>
          </rPr>
          <t>Source: 10
11/4/02; based on Nexant Tracking Report, 1/7/02
"expended in 2001"</t>
        </r>
      </text>
    </comment>
    <comment ref="AJ11" authorId="0">
      <text>
        <r>
          <rPr>
            <b/>
            <sz val="8"/>
            <rFont val="Tahoma"/>
            <family val="0"/>
          </rPr>
          <t>Source: 1, 11, 12</t>
        </r>
      </text>
    </comment>
    <comment ref="AL11" authorId="0">
      <text>
        <r>
          <rPr>
            <b/>
            <sz val="8"/>
            <rFont val="Tahoma"/>
            <family val="0"/>
          </rPr>
          <t>Source: 10</t>
        </r>
      </text>
    </comment>
    <comment ref="AM11" authorId="0">
      <text>
        <r>
          <rPr>
            <b/>
            <sz val="8"/>
            <rFont val="Tahoma"/>
            <family val="2"/>
          </rPr>
          <t>Source 11
Note:
excludes 4.3 MW of reduction from load management and curtailment</t>
        </r>
      </text>
    </comment>
    <comment ref="AS11" authorId="0">
      <text>
        <r>
          <rPr>
            <b/>
            <sz val="8"/>
            <rFont val="Tahoma"/>
            <family val="0"/>
          </rPr>
          <t>Figure skewed because demand savings from load management were excluded, while there was no data to exclude funding for load management vs. energy efficiency.</t>
        </r>
      </text>
    </comment>
  </commentList>
</comments>
</file>

<file path=xl/sharedStrings.xml><?xml version="1.0" encoding="utf-8"?>
<sst xmlns="http://schemas.openxmlformats.org/spreadsheetml/2006/main" count="4260" uniqueCount="1388">
  <si>
    <t>Prescriptive HVAC Replacement Incentives</t>
  </si>
  <si>
    <t>Incentives for high-efficiency HVAC equipment installations</t>
  </si>
  <si>
    <t>Prescriptive Motor Replacement Incentives</t>
  </si>
  <si>
    <t>Incentives for motors that meet CEE standards</t>
  </si>
  <si>
    <t>Energy-Efficient Motor Systems</t>
  </si>
  <si>
    <t>Recommendations &amp; tech support to promote use of efficient motors</t>
  </si>
  <si>
    <t>Agricultural and Water District Pump Testing</t>
  </si>
  <si>
    <t>Pump testing and recommendations to encourage improved pump performance and reduced energy requirements</t>
  </si>
  <si>
    <t>Bob Thomas</t>
  </si>
  <si>
    <t>916-732-5417</t>
  </si>
  <si>
    <t>bthoma2@smud.org</t>
  </si>
  <si>
    <t>Small Commercial Prescriptive Lighting</t>
  </si>
  <si>
    <t>Installation of prescribed lighting efficiency measures</t>
  </si>
  <si>
    <t>Robert Chan</t>
  </si>
  <si>
    <t>916-732-5457</t>
  </si>
  <si>
    <t>rchan@smud.org</t>
  </si>
  <si>
    <t>Vikki Wood</t>
  </si>
  <si>
    <t>916-732-6278</t>
  </si>
  <si>
    <t>vwood@smud.org</t>
  </si>
  <si>
    <t>Small C/I HVAC/Refrigerator Tune-Up</t>
  </si>
  <si>
    <t>Office of the Governor, Press Release. "Two Million Light Bulbs Distributed During Statewide PowerWalk Effort." August 31, 2001.</t>
  </si>
  <si>
    <t>Statewide Business Energy Guide</t>
  </si>
  <si>
    <t>demonstrating energy efficiency options not widely adopted by various market actors; program makes detailed designs of efficiency options and their performance information widely available.</t>
  </si>
  <si>
    <r>
      <t>Business/ Commercial</t>
    </r>
    <r>
      <rPr>
        <sz val="10"/>
        <rFont val="Arial"/>
        <family val="0"/>
      </rPr>
      <t> </t>
    </r>
  </si>
  <si>
    <r>
      <t>Battery Backup Systems for LED Traffic Signals</t>
    </r>
    <r>
      <rPr>
        <sz val="10"/>
        <rFont val="Arial"/>
        <family val="0"/>
      </rPr>
      <t> </t>
    </r>
  </si>
  <si>
    <r>
      <t>Innovative Peak Load Reduction Program</t>
    </r>
    <r>
      <rPr>
        <sz val="10"/>
        <rFont val="Arial"/>
        <family val="0"/>
      </rPr>
      <t> </t>
    </r>
  </si>
  <si>
    <r>
      <t>Agriculture</t>
    </r>
    <r>
      <rPr>
        <sz val="10"/>
        <rFont val="Arial"/>
        <family val="0"/>
      </rPr>
      <t> </t>
    </r>
  </si>
  <si>
    <r>
      <t>Water/Wastewater</t>
    </r>
    <r>
      <rPr>
        <sz val="10"/>
        <rFont val="Arial"/>
        <family val="0"/>
      </rPr>
      <t> </t>
    </r>
  </si>
  <si>
    <t>PGC</t>
  </si>
  <si>
    <t>SBx1 5</t>
  </si>
  <si>
    <t>ABx1 29</t>
  </si>
  <si>
    <t>AB 970</t>
  </si>
  <si>
    <t>Other (specify)</t>
  </si>
  <si>
    <t>Sources of Funding</t>
  </si>
  <si>
    <t>Evaluation Type for PY 2001 (check one)</t>
  </si>
  <si>
    <t>Program Cost Document Name and Source</t>
  </si>
  <si>
    <t>Contact and Source Information</t>
  </si>
  <si>
    <t>Name</t>
  </si>
  <si>
    <t>Phone</t>
  </si>
  <si>
    <t>e-mail</t>
  </si>
  <si>
    <t>Done? (Y/N)</t>
  </si>
  <si>
    <t>Name and Source</t>
  </si>
  <si>
    <t>Downstream Lighting</t>
  </si>
  <si>
    <t>Res - EE Incentives</t>
  </si>
  <si>
    <t>What were actual rebate levels: CW $155/yr?,  DW $40?; Ref $70?;</t>
  </si>
  <si>
    <t>Rebates to MF property owners, managers or contractors who install efficiency measures in their rental units and/or complex common areas</t>
  </si>
  <si>
    <t>Part of Res "Hard to Reach" program (I.e. low income and seniors); 881 apartment complexes received rebates in 2001 - 86% involved installation of interior and exterior lighting measures, 14%  involved rebates for EE appliances (mainly refrigerators)</t>
  </si>
  <si>
    <t>Direct rebates and incentives to residential homeowners.  Allows for customer to use utility-provided contractor, or contractor of their choice, or "do it yourself" option for installation</t>
  </si>
  <si>
    <t>Res - upstream</t>
  </si>
  <si>
    <t xml:space="preserve">Statewide Upstream Lighting </t>
  </si>
  <si>
    <t>(a) Furnaces, ACs, Heat Pumps, windows, reflective window film, showerheads, attic insulation,  WHs, WH pipe insulation, WH blankets, faucet aerators, evap coolers, evap cooler covers, whole house fans, wall insulation; (b) AC/HP Diagnostics, AC/HP Tune Up, thermostats, duct testing, duct sealing, chalking, cover plate gaskets, door shoes, thresholds, weather stripping</t>
  </si>
  <si>
    <t>ES CFL bulbs (357,661 units shipped); ES torchieres (12,785 units shipped); ES indoor/outdoor fixtures (7,725 units shipped)</t>
  </si>
  <si>
    <t>Statewide Upstream Appliances</t>
  </si>
  <si>
    <t>Targeted Third Party Initiative</t>
  </si>
  <si>
    <t>1.  Note that as of 11/1/01 Nexant had not verified any savings.</t>
  </si>
  <si>
    <t xml:space="preserve">Nexant (Source 11) "verified" savings of 3.2 MW as of 11/1/01; verified installation of over 9 million sqft of cool roofing material.  Source 1 reported 2.0 MW of savings. </t>
  </si>
  <si>
    <t>CEC program.   As of 11/1/01, energy-efficient equipment installed at 141 sites (Source 11).</t>
  </si>
  <si>
    <t>Nexant verification.  (Source 1 reported 34 peak MW savings).</t>
  </si>
  <si>
    <t>RHCS - Regional and National Initiatives</t>
  </si>
  <si>
    <t>Res - Lighting</t>
  </si>
  <si>
    <t xml:space="preserve">Targeted architects, engineers, lighting designers, energy consultants, developers, lenders, appraisers and contractors.  </t>
  </si>
  <si>
    <t>Trained 1,054 design professionals and generated close to 100 project leads for Savings By Design.   High Performance Schools Workshop attracted 224 participants and generated 23 project leads.</t>
  </si>
  <si>
    <t>EE pilot program providing financial incentives for the efficient construction and operation of refrigerated warehouses .</t>
  </si>
  <si>
    <t>Targeted owners of new refrigerated warehouses.</t>
  </si>
  <si>
    <t>Design assistance, operation and maintenance energy savings estimates, recommendations for permanently installed equipment metering at time of construction, design assistance follow-up services.</t>
  </si>
  <si>
    <t>Energy Design Success (EDS) program provided site-customized reports to customers looking to expand their existing facilities or build new facilities.</t>
  </si>
  <si>
    <t xml:space="preserve">EDS program completed 23 projects for the year.  </t>
  </si>
  <si>
    <t>Studies developed for promising design practices and technologies and presented to standards/code-setting bodies.</t>
  </si>
  <si>
    <t>30 studies developed for future code revisions that tighten current standards or support "exceptional method applications" to incorporate new technologies into Title 24 building standards.</t>
  </si>
  <si>
    <t>Targted code-setting bodies such as the CEC and USDOE.</t>
  </si>
  <si>
    <t xml:space="preserve">Training sessions targeted at local governments whose constituents received gas or electricity from PG&amp;E and who paid the PGC. </t>
  </si>
  <si>
    <t>47 Title 24 training sessions; 30 professional on-site meetings and three technical training classes on Site-Built Fenestration with 130 attendees; management of three third party initiatives.</t>
  </si>
  <si>
    <t>Third party initiatives: City of Berkeley, County of Alameda, County of Marin</t>
  </si>
  <si>
    <t>Non Residential</t>
  </si>
  <si>
    <t>ALL SECTORS</t>
  </si>
  <si>
    <t>SI 01</t>
  </si>
  <si>
    <t>SI 02</t>
  </si>
  <si>
    <t>SI 03</t>
  </si>
  <si>
    <t>SI 04</t>
  </si>
  <si>
    <t>SI 05</t>
  </si>
  <si>
    <t>SI 06</t>
  </si>
  <si>
    <t>SI 07</t>
  </si>
  <si>
    <t>SI 08</t>
  </si>
  <si>
    <t>SI 09</t>
  </si>
  <si>
    <t>SI 10</t>
  </si>
  <si>
    <t>SI 11</t>
  </si>
  <si>
    <t>SI 12</t>
  </si>
  <si>
    <t>CEC 01</t>
  </si>
  <si>
    <t>CEC 02</t>
  </si>
  <si>
    <t>CEC 03</t>
  </si>
  <si>
    <t>CEC 04</t>
  </si>
  <si>
    <t>CEC 06</t>
  </si>
  <si>
    <t>CEC 07</t>
  </si>
  <si>
    <t>CEC 08</t>
  </si>
  <si>
    <t>BST 01</t>
  </si>
  <si>
    <t>BST 02</t>
  </si>
  <si>
    <t>BST 03</t>
  </si>
  <si>
    <t>BST 04</t>
  </si>
  <si>
    <t>LADWP 01</t>
  </si>
  <si>
    <t>LADWP 02</t>
  </si>
  <si>
    <t>LADWP 03</t>
  </si>
  <si>
    <t>LADWP 04</t>
  </si>
  <si>
    <t>LADWP 05</t>
  </si>
  <si>
    <t>LADWP 06</t>
  </si>
  <si>
    <t>LADWP 07</t>
  </si>
  <si>
    <t>LADWP 08</t>
  </si>
  <si>
    <t>SMUD 01</t>
  </si>
  <si>
    <t>SMUD 02</t>
  </si>
  <si>
    <t>SMUD 03</t>
  </si>
  <si>
    <t>SMUD 04</t>
  </si>
  <si>
    <t>SMUD 05</t>
  </si>
  <si>
    <t>SMUD 06</t>
  </si>
  <si>
    <t>SMUD 07</t>
  </si>
  <si>
    <t>SMUD 08</t>
  </si>
  <si>
    <t>SMUD 09</t>
  </si>
  <si>
    <t>SMUD 10</t>
  </si>
  <si>
    <t>SMUD 11</t>
  </si>
  <si>
    <t>SMUD 12</t>
  </si>
  <si>
    <t>SMUD 13</t>
  </si>
  <si>
    <t>SMUD 14</t>
  </si>
  <si>
    <t>SMUD 15</t>
  </si>
  <si>
    <t>SMUD 16</t>
  </si>
  <si>
    <t>SMUD 17</t>
  </si>
  <si>
    <t>SMUD 18</t>
  </si>
  <si>
    <t>SMUD 19</t>
  </si>
  <si>
    <t>SMUD 20</t>
  </si>
  <si>
    <t>SMUD 21</t>
  </si>
  <si>
    <t>SMUD 22</t>
  </si>
  <si>
    <t>SMUD 23</t>
  </si>
  <si>
    <t>BRK 01</t>
  </si>
  <si>
    <t>BRK 02</t>
  </si>
  <si>
    <t>BRK 03</t>
  </si>
  <si>
    <t>BRK 04</t>
  </si>
  <si>
    <t>BRK 05</t>
  </si>
  <si>
    <t>BRK 06</t>
  </si>
  <si>
    <t>BRK 07</t>
  </si>
  <si>
    <t>PY 2001 EE Programs</t>
  </si>
  <si>
    <t>City of San Francisco</t>
  </si>
  <si>
    <t>SF 01</t>
  </si>
  <si>
    <t>SF 02</t>
  </si>
  <si>
    <t>SF 03</t>
  </si>
  <si>
    <t>Pacific Gas &amp; Electric</t>
  </si>
  <si>
    <t>PY2001 EE Programs</t>
  </si>
  <si>
    <t>Promotion of whole system approach, emphasizing certain comprehensive measure packages, such as a set of HVAC measures.  Delivered through approved contractors.</t>
  </si>
  <si>
    <t>Training programs (air-flow and refrigerant change); incentives for thermostatic expansion valve program; Energy Star Homes</t>
  </si>
  <si>
    <t>Support for local government initiatives to advance EE new construction at the community level. Initiatives may include the municipal planning and development approval processes, and the establishment of institutions or programs to mobilize and link community resources (e.g. local financial institutions, contractors, business organizations, service clubs, and non-profits, etc.) to form self-sustaining partnerships.  Advise local governments on policies such as street width, tree canopies and building orientation that impact energy efficiency.</t>
  </si>
  <si>
    <t>Co-op Lighting Program: over 356,500 CFL bulbs sold with $3 incentive and over 58,350 torchieres and 16,280 fixtures sold with $10 incentive</t>
  </si>
  <si>
    <t>Res Upstream (TPI)</t>
  </si>
  <si>
    <t>Lee Trotman; George Coronel</t>
  </si>
  <si>
    <t>(626) 302-8885; (626) 302-6637</t>
  </si>
  <si>
    <t>Lee.Trotman@sce.com;  George.Coronel@sce.com</t>
  </si>
  <si>
    <t>OSS , John Fields; ECOS Consulting; Jody Moore</t>
  </si>
  <si>
    <t>(562) 498-1558; (909) 394-0662 x201</t>
  </si>
  <si>
    <t>Dan Amuzie &amp; Angie Ong-Carrillo</t>
  </si>
  <si>
    <t>415-973 1370 &amp; 415-973 1887</t>
  </si>
  <si>
    <t>DEA4@pge.com &amp; axo1@pge.com</t>
  </si>
  <si>
    <t>C hris Ann Dickerson &amp; Rafael Friedmann</t>
  </si>
  <si>
    <t>415-973 4834 &amp; 415-972 5799</t>
  </si>
  <si>
    <t>cadd@pge.com &amp; rafi@pge.com</t>
  </si>
  <si>
    <t>Mike Rufo--Xenergy</t>
  </si>
  <si>
    <t>510-891 0446</t>
  </si>
  <si>
    <t>mrufo@xenergy.com</t>
  </si>
  <si>
    <t>Last report was for 1999 program</t>
  </si>
  <si>
    <t>See SCE for details on 2000 &amp; 2001 evaluations-they're the lead</t>
  </si>
  <si>
    <t>SDG&amp;E</t>
  </si>
  <si>
    <t>Residential</t>
  </si>
  <si>
    <t>Dave Manoguerra</t>
  </si>
  <si>
    <t>415-973-1307</t>
  </si>
  <si>
    <t>Res - New Const.</t>
  </si>
  <si>
    <t>Targeted Consumer Promotion and Information</t>
  </si>
  <si>
    <t>Infrastructure Development</t>
  </si>
  <si>
    <t>ENERGY STAR New Homes</t>
  </si>
  <si>
    <t>Capability Development</t>
  </si>
  <si>
    <t>Local Government Planning</t>
  </si>
  <si>
    <t>Comm - New Const.</t>
  </si>
  <si>
    <t>Ind &amp; Ag - New Const.</t>
  </si>
  <si>
    <t>Targeted Information</t>
  </si>
  <si>
    <t>New Const. - Other</t>
  </si>
  <si>
    <t>Codes and Standards Support</t>
  </si>
  <si>
    <t>Southern California Gas Company</t>
  </si>
  <si>
    <t>Energy Facts</t>
  </si>
  <si>
    <t>Provides energy efficiency information to residential customers through SoCalGas website.</t>
  </si>
  <si>
    <t>Southern California Gas Company.  "Demand Side Management Energy Efficiency Programs Annual Report, Program Year 2001".  May 2002.</t>
  </si>
  <si>
    <t>Statewide Residential Energy Guide</t>
  </si>
  <si>
    <t>Home Energy Fitness Program</t>
  </si>
  <si>
    <t xml:space="preserve">Distribution of Statewide Energy Guide print copies as well as management of online information resource.  Available in multiple languages. </t>
  </si>
  <si>
    <t>Individualized assessments of residential customers' home energy usage and recommendations for energy efficiency.   Direct mail campaign was outsourced and online audit service was launched.</t>
  </si>
  <si>
    <t>Res - EE Retrofit</t>
  </si>
  <si>
    <t>Rebates/incentives provided to single- and multi-family customers for the installation of high-efficiency furnaces, water heaters and windows.  Rebates also provided for ceiling and wall insulation, duct testing and sealing, programmable thermostats, and low-flow showerheads.  Multifamily efforts centered on installation of water heater and boiler controllers.</t>
  </si>
  <si>
    <t>Res - EE Incentive</t>
  </si>
  <si>
    <t>School to home effort designed to educate homeowners and provided elementary school students and their families with energy efficiency information.</t>
  </si>
  <si>
    <t>Upstream High Efficiency Water Heater Program</t>
  </si>
  <si>
    <t xml:space="preserve">Incentives provided to distributors and retailers to encourage the stocking of high efficiency gas water heaters </t>
  </si>
  <si>
    <t>Res - Upstream</t>
  </si>
  <si>
    <t>Emerging Technologies Residential Appliances</t>
  </si>
  <si>
    <t>Program curtailed mid-year due to funding shifts.</t>
  </si>
  <si>
    <t>Facility houses some SCG EE staff and provides space to demonstrate the benefits of high-efficiency technologies to com. &amp; ind. customers.  Activities in 2001 included: 18 ind. seminars, 58 com. seminars, 87 other energy-related seminars, 376 equipment presentations, and 5,000 public visitors.</t>
  </si>
  <si>
    <t xml:space="preserve">Objective to train HVAC contractors in the proper installation of gas cooling systems.  </t>
  </si>
  <si>
    <t>Coin Laundry and Dry Cleaner Program</t>
  </si>
  <si>
    <t>Objective to promote EE awareness among small hotel and motel owners and operators.   In 2001: on-site audits, quarterly newsletter, dedicated program website.  Provided fuel-neutral info and recommendations, focusing on end uses such as water heating, shower heads, lighting and space conditioning.</t>
  </si>
  <si>
    <t>During 2001, 539 Commercial Standard Audits and  51 "Super Audits" - more extensive.  Audits performed either when new customers come on-line or upon significant change in a customer's plant operations.</t>
  </si>
  <si>
    <t>During 2001, 329 Industrial Standard Audits and 49 "Super Audits" - more extensive.  Audits performed either when new customers come on-line or upon significant change in a customer's plant operations.</t>
  </si>
  <si>
    <t xml:space="preserve">Comprised of two components: (1) Furnace/Kiln/Oven (targets - industrial process equipment as conveyorized drying ovens, curing ovens, batch ovens, food processing ovens, and crucible furnaces); and (2) Process Energy Conservation (targets - heat recovery systems, pipe insulation, tank insulation, thermocouples, burner replacement, hot-water or steam boilers and digital controls..  </t>
  </si>
  <si>
    <t>Prescriptive rebates for a variety of high efficiency gas equipment and retrofit measures offered to small- and medium-sized non res customers.  463 applications processed in 2001, of which 219 were for storage water heaters.</t>
  </si>
  <si>
    <t>Promoted awareness of qualifying efficient natural gas AC engine-driven and absorption units.  Qualifying units minimum 5 tons and min COP of 0.62.  In 2001, 392 tons of unitary gas cooling projects were installed.</t>
  </si>
  <si>
    <t xml:space="preserve">Supports deployment of new, advanced technologies, applications and best practices available for sale in California. </t>
  </si>
  <si>
    <t xml:space="preserve">Targeted TPI aimed at finding and implementing medium-tonnnge (25-200 ton) gas cooling projects with COP of 1.0 or above.   In 2001, 462 tons of gas cooling installed as a field demonstrations. </t>
  </si>
  <si>
    <t>Primary focus on promoting the installation of high performance duct systems in new single family homes.   In 2001, SCG had enrolled 24,732 production builder lots in the program.</t>
  </si>
  <si>
    <t xml:space="preserve">Statewide program promoting high performance commercial building design and construction.  Emphasis on reducing transaction costs associated with developing and evaluating EE design alternatives. </t>
  </si>
  <si>
    <t>Support for AB 970 emergency rulemaking processes for both California Title 24 &amp; 20.  Activities included participation in public workshops and meetings, support and advocacy for code change through the end of Phase II of the rulemaking, and training for code officials, contractors, T-24 consultants and other groups.</t>
  </si>
  <si>
    <t>Support for local government initiatives to transform EE markets at community level.  For 2001, implemented 3rd party to solicit targeted public housing authorities.  Targeted low-income new construction.</t>
  </si>
  <si>
    <t>SoCalGas</t>
  </si>
  <si>
    <t>Program provides incentives to encourage customers to dispose of operable, old, inefficient refrigerators in an environmentally responsible manner</t>
  </si>
  <si>
    <t>Res Upstream</t>
  </si>
  <si>
    <t>Energy Star Labeling (Appliances)</t>
  </si>
  <si>
    <t>Manufacturer buy-down of $3 per ES CFL and $10 per torchiere or hardwired i/o fixture</t>
  </si>
  <si>
    <t xml:space="preserve">Paid rebates for: 3,700 gas water heaters; 250 electric water heaters; 10,300 whole house fans; 730 advanced whole house evaporative coolers; 526,000 sqft of high performance windows; 1,300 Energy Star programmable thermostats; plus rebates for motion sensors, hardwired fixtures and CFL torchieres. </t>
  </si>
  <si>
    <t>Training on EE HVAC targeted to HVAC contractors, technicians, installers, architects, engineers, building code officials, and trade school instructors; conducted at PG&amp;E Energy Training Center in Stockton and Sierra Energy Center in Tuolumne County.</t>
  </si>
  <si>
    <t>36 EE training classes for over 3,600 attendees</t>
  </si>
  <si>
    <t>Support for the identification, development and commercialization of new HVAC technologies, applications, and best practices appropriate for the California market.</t>
  </si>
  <si>
    <t>Continuation of funding for GeoExchange (geothermal heat pump) information and outreach efforts</t>
  </si>
  <si>
    <t>Enabled PG&amp;E's Energy Training Center (ETC) in Stockton and Sierra Energy Center (SEC) in Tuolumne County to conduct residential demonstrations, training and other technical support.</t>
  </si>
  <si>
    <t>ETC offered ten different classes to over 1,800 Residential Contractor Program (RCP) contractors and six classes on HVAC issues and equipment to 570 attendees; SEC offered 11 separate classes</t>
  </si>
  <si>
    <t>Financial assistance to influence manufacturers' technology commercialization plans, distributors' stocking decisions, contractors' stocking and promotion strategies, and customers' purchasing decisions.</t>
  </si>
  <si>
    <t xml:space="preserve">Accelerated the introduction of, and increased demand for, sub-CFLs through cooperative efforts with retailers (mass and individual), manufacturers.  </t>
  </si>
  <si>
    <t>Attracted 10 lighting manufacturers to participate in the CFL torchiere incentive component</t>
  </si>
  <si>
    <t>Manufacturer and customer incentives, education and outreach to retailers and manufacturers, field services, salesperson training, and paid advertising to promote Energy Star lighting products.</t>
  </si>
  <si>
    <t>35,100 EE torchieres shipped in 2001</t>
  </si>
  <si>
    <t>Promotion of Energy Star labeled appliances to residential customers, retailers, and manufacturers.</t>
  </si>
  <si>
    <t>PGC-funded rebates for 55,600 refrigerators, 11,100 clothes washers, 6,200 dish washers, 430 room ACs, 370 portable evaporative coolers.</t>
  </si>
  <si>
    <t>Supplemental SBX1-5 funding of additional rebates for: 37,000 refrigerators; 17,000 clothes washers; 16,500 dishwashers; 700 room ACs; 1,350 portable evaporative coolers.</t>
  </si>
  <si>
    <t>Lighting System Analysis (LSA); trained California Conservation Corps (CCC) to perform lighting audits and retrofits at campus locations; assisted Chancellor's Office of the California Community College system to develop a facilities energy profile database</t>
  </si>
  <si>
    <t>Results for "2000-2001" (what about jusy PY2001?): 14,639 cases of timers switched to off-peak; 4,984 "conversions" assumed to mean replacement of low eff. w/ high eff pool pump</t>
  </si>
  <si>
    <t xml:space="preserve">Reported Energy Savings (MWh)               </t>
  </si>
  <si>
    <r>
      <t>SDG&amp;E</t>
    </r>
    <r>
      <rPr>
        <sz val="10"/>
        <rFont val="Arial"/>
        <family val="2"/>
      </rPr>
      <t xml:space="preserve"> Third Party Initiatives</t>
    </r>
  </si>
  <si>
    <r>
      <t>SCE</t>
    </r>
    <r>
      <rPr>
        <sz val="10"/>
        <rFont val="Arial"/>
        <family val="2"/>
      </rPr>
      <t xml:space="preserve"> Third Party Initiatives</t>
    </r>
  </si>
  <si>
    <r>
      <t>PG&amp;E</t>
    </r>
    <r>
      <rPr>
        <sz val="10"/>
        <rFont val="Arial"/>
        <family val="2"/>
      </rPr>
      <t xml:space="preserve"> Third Party Initiatives</t>
    </r>
  </si>
  <si>
    <t>SI 13</t>
  </si>
  <si>
    <t>SI 14</t>
  </si>
  <si>
    <t>SI 15</t>
  </si>
  <si>
    <t>SI 16</t>
  </si>
  <si>
    <t>Commercial Building Energy Efficiency (A&amp;B); Compressed Air System Efficiency; Evaporative Cooling; Industrial Refrigeration Direct Expansion (DX) Valve Upgrade; Office Equipment Efficiency; Residential HVAC Replacement Blitz;  Vendor Coupon; Wastewater Plant Aeration System Optimization; Cool Roofs</t>
  </si>
  <si>
    <t>Cancelled projects/program elements: Active Load Management, Glycol Heat Transfer Fluid Optimization, Manufactured Housing High Efficiency Air Conditioning</t>
  </si>
  <si>
    <t>ALL IOUS</t>
  </si>
  <si>
    <t>SDG&amp;E "Beat the Heat" Torchiere replacement</t>
  </si>
  <si>
    <t>SCE "Beat the Heat" Torchiere replacement</t>
  </si>
  <si>
    <t>PG&amp;E "Beat the Heat" Torchiere replacement</t>
  </si>
  <si>
    <t>TOTAL FOR ALL IOUS</t>
  </si>
  <si>
    <t>SDG&amp;E ARCA Refrigerator Recycling</t>
  </si>
  <si>
    <t>SCE ARCA Refrigerator Recycling</t>
  </si>
  <si>
    <t>PG&amp;E ARCA Refrigerator Recycling</t>
  </si>
  <si>
    <t>PG&amp;E: UC/CSU: Campus Efficiency projects</t>
  </si>
  <si>
    <t>Muni Gov't</t>
  </si>
  <si>
    <t>PG&amp;E LED Traffic Signals</t>
  </si>
  <si>
    <t>SDG&amp;E LED Traffic Signals</t>
  </si>
  <si>
    <t>SCE LED Traffic Signals</t>
  </si>
  <si>
    <t>Rebate applied to energy bills of IOU customers who reduced monthly energy use compared to same month in 2000.</t>
  </si>
  <si>
    <t>SCE  UC/CSU: Campus Efficiency projects</t>
  </si>
  <si>
    <t>SDG&amp;E   UC/CSU: Campus Efficiency projects</t>
  </si>
  <si>
    <t>PG&amp;E Res-Team</t>
  </si>
  <si>
    <t>SCG Res Team</t>
  </si>
  <si>
    <t>SCE Res Team</t>
  </si>
  <si>
    <t>SDG&amp;E Res Team</t>
  </si>
  <si>
    <t>Residential New Construction Air Conditioner; Residential EE Audit and Air Conditioner Rebate; Home Energy Efficient Design; Residential New Construction Initiative; Sm/Med NR A/C Precoolers; Sm/Med NR Lighting Retrofits</t>
  </si>
  <si>
    <t>6 projects/sub-programs designed to solicit innovative strategies and technologies from the marketplace. For 2001, there was a greater focus on cost-effectiveness and on projects aimed at achieving energy savings and demand reductions beginning in the summer of 2001.</t>
  </si>
  <si>
    <t>Southern California Edison</t>
  </si>
  <si>
    <t>Non Residential </t>
  </si>
  <si>
    <t>ALL SECTORS (not including Summer Initiative)</t>
  </si>
  <si>
    <t>San Diego Gas &amp; Electric</t>
  </si>
  <si>
    <t>PY2001 PROGRAMS</t>
  </si>
  <si>
    <t>Objective to bring about energy efficiency upgrades in standards and codes. Develop and present a case for improvements for promising design practices and technologies to standards and code setting bodies.   Eligibility: Code-setting bodies (e.g.CEC, DOE, FTC); Standards-setting, rating-setting, and research support organizations (e.g., ASHRAE); Stakeholders to specific code enhancements (e.g., BOMA); Code enforcers and enforcement organizations (e.g., California Building Officials), and managers of energy efficiency programs.</t>
  </si>
  <si>
    <t>Energy Efficient Mortgage (EEM); home energy rating systems (HERS); California Home Energy Efficiency Rating System (CHEERS)</t>
  </si>
  <si>
    <t>Promoted the benefits of EE-related retrofits and renovations during home buying and selling.  Emphasis on one-stop services for financing with EEM's and support of HERS, particularly CHEERS.</t>
  </si>
  <si>
    <t>Completed 1,100 EEMs in 2001; offered 20 EEM training classes attended by 420 trainees; distributed 150 EEM information kits to customers based on requests generated from  website.</t>
  </si>
  <si>
    <t>EE information and services to all residential customers, K-8 students, residential contractors, trade organizations, manufacturers, governmental and environmental organizations.</t>
  </si>
  <si>
    <t>Smarter Energy Line (SEL) - single point of contact for residential program marketing efforts;  "Energenius" and "Energy Treasure Hunt" targeted EE info at K-8 students.</t>
  </si>
  <si>
    <t>528,900 calls to SEL in 2001, nearly double the number from 2000; 36,000 hits to Energy Calculator website; 33,300 Energenius kits distributed to schools in 2001 - 73% of kits to moderate income and 21% to rural schools.</t>
  </si>
  <si>
    <t>Promotion of whole-house approaches to retrofit activities while increasing market penetration of EE products and services.</t>
  </si>
  <si>
    <t>Residential Contractor Program (RCP); Home Improvement Program; Energy Star Financing Program.</t>
  </si>
  <si>
    <t>Los Angeles Department of Water and Power (LADWP) and Sacramento Municipal Utility District (SMUD)</t>
  </si>
  <si>
    <t>[g]</t>
  </si>
  <si>
    <t>[h]</t>
  </si>
  <si>
    <t>PGC-Funded, IOU Administered</t>
  </si>
  <si>
    <t>Distributed 50,000 "Energy for Business" brochures through community-based and trade organizations; contacted 62,600 businesses by mail and 3,500 by phone, and conducted 2,500 on-site visits to offer EE information and assistance.</t>
  </si>
  <si>
    <t>Targeted EE in commercial food service industry through Food Service Technology Center (FSTC) and Energy Training Center (ETC) in Stockton.  Provided seminars to help designers and users of commercial food service equipment improve energy efficiency.</t>
  </si>
  <si>
    <t xml:space="preserve">Conducted 27 seminars before a total of 990 participants. Focused on numerous technologies including boilers, motors and drives, and packaged HVAC systems. </t>
  </si>
  <si>
    <t>Information through print literature, in-person visits, phone and on-line media.  Energy surveys a major component.</t>
  </si>
  <si>
    <t>1,400 on-site surveys; 1,700 phone surveys; 1,600 mail-back surveys; Energy Treasure Hunt Program: finance workshop for forty school districts; maintenance and operations workshop coordinated with DOE Rebuild America.</t>
  </si>
  <si>
    <t>Program was folded into Large Customer SPC program</t>
  </si>
  <si>
    <t xml:space="preserve">Standard Performance Contract (Statewide program "element"); LED Traffic Signals Program; </t>
  </si>
  <si>
    <t>Helps businesses demand in excess of 500kW or natural gas usage of more than 250 Mtherms/year replace inefficient equipment of a variety of efficient types.</t>
  </si>
  <si>
    <t>45 cities participated, primarily smaller cities, towns and government agencies.</t>
  </si>
  <si>
    <t>Energy efficiency improvements and demand responsiveness measures at: (a) six CSU campuses; (b) 3 UC campuses; (c) demand curtailment at 31 UC/CSU campuses; (d) demand curtailment at Dep't of Corrections facilities; and (e) emergency demand response at 174 State building sites</t>
  </si>
  <si>
    <t>Res and Non Res</t>
  </si>
  <si>
    <t>“Using Mass Media to Influence Energy Consumption Behavior: California’s 2001 Flex Your Power Campaign as a Case Study.”  Sylvia Bender (California Energy Commission), Mirtha Moezzi (Lawrence Berkeley National Laboratories), Marcia Hill Gossard and Loren Lutzenhiser (Washington State University).  2002.</t>
  </si>
  <si>
    <t>Res - EMS</t>
  </si>
  <si>
    <t>Promotion of Energy Star labeled appliances with emphasis on improving market recognition of their benefits.  Targeted customers, multifamily property owners and operators, and retailers/manufacturers.</t>
  </si>
  <si>
    <t>9 seminar events; 15 trade fair events</t>
  </si>
  <si>
    <t xml:space="preserve">Cooperative effort between SDG&amp;E and SAFE-BIDCO offering low-cost financing to small business customers for EE projects.  </t>
  </si>
  <si>
    <t>SDG&amp;E responded to 184 requests for information about the program; distributed 425 program fact sheets</t>
  </si>
  <si>
    <t>Trains and certifies facility managers of commercial or governmental buildings  to increase professional competence in EE building operation and maintenance.</t>
  </si>
  <si>
    <t>Series of training courses conducted by Northwest Energy Efficiency Council (NEEC); 18 city employees participating in the 7 module certification series.</t>
  </si>
  <si>
    <t>Technical consulting to small and medium business customers from a pool of independent consultants for specific end use applications.</t>
  </si>
  <si>
    <t>6 technical assistance studies completed</t>
  </si>
  <si>
    <t xml:space="preserve">Provides customers with on-site information and support to make decisions regarding EE retrofits for process applications.  </t>
  </si>
  <si>
    <t>12 technical assistance studies completed</t>
  </si>
  <si>
    <t>Pilot project "EnVINTA" tested on large business customers - offering building efficiency rating tool</t>
  </si>
  <si>
    <t>Pilot completed March 2001; diagnostics conducted for 10 large non res customers</t>
  </si>
  <si>
    <t>Printed resource providing energy information and education to customers to better manage their energy costs. Available in English, Spanish and Chinese</t>
  </si>
  <si>
    <t>Specific information for: office buildings, grocery stores, restaurants, retail outlets, and manufacturing facilities.  6,800 guides distributed at trade shows, business establishments, Small Business Associations, Chambers of Commerce, building permit and government offices, etc.</t>
  </si>
  <si>
    <t>Toll free hotline to general customer service routed to utility-trained Energy Information Representatives</t>
  </si>
  <si>
    <t xml:space="preserve">Expert hotline to assist customers with specific issues related to EE'y.  </t>
  </si>
  <si>
    <t>Representatives attended extensive training in 2001, including classes on: Energy Star windows, whole house EE, and EE program overviews</t>
  </si>
  <si>
    <t>Utilizes various incentives and partnerships with retailers and manufacturers to promote increased use of Energy Star lighting products</t>
  </si>
  <si>
    <t>Solar Domestic Hot Water</t>
  </si>
  <si>
    <t>Provides rebates to promote solar water heating as a replacement for electric water heating in single-family homes</t>
  </si>
  <si>
    <t>Sheryl Yee</t>
  </si>
  <si>
    <t>916-732-6852</t>
  </si>
  <si>
    <t>syee@smud.org</t>
  </si>
  <si>
    <t>Calvin Broomhead</t>
  </si>
  <si>
    <t>Newcomb Anderson Assoc.</t>
  </si>
  <si>
    <r>
      <t>ECAA Energy Efficiency Financing:  Public Agency 3% Loans and Grants</t>
    </r>
    <r>
      <rPr>
        <sz val="10"/>
        <rFont val="Arial"/>
        <family val="0"/>
      </rPr>
      <t> </t>
    </r>
  </si>
  <si>
    <t>"Cool Roofs" was funded by AB 970 ($10 M) and "Cool Savings" was funded by SBx1 5 ($15 M).  Implementation Contacts: 1) Sacramento Tree Foundation?; 2) San Diego Reg. Energy Office, Frank White; 3) SMUD, Misha Sarkovich; 4)  LADWP, Wei Li;  5) Local Gov't Commission, G. Patrick Stoner</t>
  </si>
  <si>
    <t>PG&amp;E 2002 AEAP Vol. III Table TA 8.2 Program Portfolio Budgets and Benefits PY2001 (Revised July 2002)</t>
  </si>
  <si>
    <t>Provide peak load reduction and energy savings by controlling beverage vending machine operation</t>
  </si>
  <si>
    <t>Dave Mark</t>
  </si>
  <si>
    <t>916-732-5495</t>
  </si>
  <si>
    <t>dmark@smud.org</t>
  </si>
  <si>
    <t>Vending Miser</t>
  </si>
  <si>
    <t>C/I New Construction</t>
  </si>
  <si>
    <t>Provide education &amp; technical assistance to encourage increased energy efficiency in new commercial construciton</t>
  </si>
  <si>
    <t>Rick Wiesner</t>
  </si>
  <si>
    <t>916-732-5398</t>
  </si>
  <si>
    <t>rwiesne@smud.org</t>
  </si>
  <si>
    <t>Provide energy efficiency recommendations via in-home, CD-ROM, web-based, and paper questionnaire energy audits</t>
  </si>
  <si>
    <t>Ken Happs</t>
  </si>
  <si>
    <t>916-732-6396</t>
  </si>
  <si>
    <t>khapps@smud.org</t>
  </si>
  <si>
    <t>Warren Lindeleaf</t>
  </si>
  <si>
    <t>916-732-5489</t>
  </si>
  <si>
    <t>wlindel@smud.org</t>
  </si>
  <si>
    <t>Customer Satisfaction Survey</t>
  </si>
  <si>
    <t>Residential HVAC Rebates</t>
  </si>
  <si>
    <t>Evalautor is out in the field collecting data for May - Dec 2001 period funded through SBx1 5; Jan-May was PGC-funded, no evaluation done for this period.</t>
  </si>
  <si>
    <t>Program in place all of 2001 and entirely PGC-funded</t>
  </si>
  <si>
    <t>Funded PGC Jan-Apr; SBx15 funded from May;</t>
  </si>
  <si>
    <t>Reported Savings</t>
  </si>
  <si>
    <t>Source and Basis of Reported Energy Savings</t>
  </si>
  <si>
    <t xml:space="preserve">Reported Cost ($millions)               </t>
  </si>
  <si>
    <t>City of San Francisco and City of Berkeley.</t>
  </si>
  <si>
    <t>Compressed Air Management Program (CAMP) provided system analysis and information to participating customers, who in-turn agreed to implement no-cost and low-cost measures identified in the analysis.  Capital-intensive measures were eligible for financial assistance through SPC program.</t>
  </si>
  <si>
    <t>Training class for "AirMaster+" tool; twelve compressed air system audits conducted.</t>
  </si>
  <si>
    <t>Discontinued in 2001, with funding transferred to non residential incentive programs.</t>
  </si>
  <si>
    <t>Discontinued components: Daylighting Initiative, Commissioning Program, Natural Cooling, Lighting Exchange, and Commercial Refrigeration Simulation Program.</t>
  </si>
  <si>
    <t>Incentive program targeted at distributors of package ACs; incentives applied to equipment purchased and installed as part of a normal or emergency replacement process.</t>
  </si>
  <si>
    <t>Received applications for over 38,300 tons of EE HVAC equipment; signed up 13 new distributors for a total of 52 active participating distributors.</t>
  </si>
  <si>
    <t xml:space="preserve">"Cool Savings" or "Cool Roofs" </t>
  </si>
  <si>
    <r>
      <t>Incentives for low-energy building roofing materials or other energy saving materials</t>
    </r>
    <r>
      <rPr>
        <sz val="10"/>
        <rFont val="Arial"/>
        <family val="0"/>
      </rPr>
      <t> </t>
    </r>
  </si>
  <si>
    <t>SCG</t>
  </si>
  <si>
    <t xml:space="preserve">CEC: "AB 970, AB 29x, and SB 5X Peak Load Reduction Programs - December 2001 Annual Report".  Nexant </t>
  </si>
  <si>
    <t>California Energy Efficiency and Demand Reduction Program - List of SBx1 5 and AB 29x Programs, April 2001.  (www.energy.ca.gov/peakload/AB29x-SB5x_program_summary.html)</t>
  </si>
  <si>
    <t>860 628-7258</t>
  </si>
  <si>
    <t>E-Mail: reknuj@aol.com</t>
  </si>
  <si>
    <t>Residential New Construction Program</t>
  </si>
  <si>
    <t>Michelle Thomas</t>
  </si>
  <si>
    <t>626-302-8994</t>
  </si>
  <si>
    <t>michelle.thomas@sce.com</t>
  </si>
  <si>
    <t>Consol</t>
  </si>
  <si>
    <t>Mass Market Information</t>
  </si>
  <si>
    <t>Information</t>
  </si>
  <si>
    <t>Mobile Education Unit</t>
  </si>
  <si>
    <t>OSS , John Fields</t>
  </si>
  <si>
    <t>Residential Energy Surveys</t>
  </si>
  <si>
    <t>CHEERS</t>
  </si>
  <si>
    <t>Lighting</t>
  </si>
  <si>
    <t>$0.09 cost per first year kWh saved if only including costs of programs with efficiency savings</t>
  </si>
  <si>
    <r>
      <t>Helps businesses with monthly peak demands under 500kW or natural gas usage less than 250 Mtherms/year replace inefficient equipment of a variety of efficient types and offers other financial incentives.</t>
    </r>
    <r>
      <rPr>
        <sz val="10"/>
        <rFont val="Arial"/>
        <family val="0"/>
      </rPr>
      <t> </t>
    </r>
  </si>
  <si>
    <t>Standard Performance Contract (Statewide program "element"), fully subscribed by May 23, 2001 with a total of 140 projects committed or paid; Express Efficiency prescriptive rebates included into this program category - more than 7,700 applications received.</t>
  </si>
  <si>
    <t>Express Efficiency and Savings by Design provided financial incentives for this program element.</t>
  </si>
  <si>
    <t>Pilot program, which offered testing, monitoring and evaluation services to non residential customers, was discontinued.  Funding was shifted to non residential incentive programs.</t>
  </si>
  <si>
    <t>Discontinued</t>
  </si>
  <si>
    <t>Provided information to raise technical awareness and knowledge of the benefits of energy efficient HVAC equipment.  Targeted "hard to reach" segments, including rural and non-English speaking households.</t>
  </si>
  <si>
    <t>Launched High Efficiency Central Cooling and Heating rebate for contractors; mailed 3,800 incentive payments to customers in 2001; provided $26,725 to 10 residential HVAC distributors for 417 high efficiency CACs and heat pumps; approx. 6,200 units installed</t>
  </si>
  <si>
    <t xml:space="preserve">Reported First Year Energy Savings (MWh)               </t>
  </si>
  <si>
    <t xml:space="preserve">Cost per First Year kWh Saved  ($/kWh)               </t>
  </si>
  <si>
    <t>CPUC-Funded Summer Initiative [a]</t>
  </si>
  <si>
    <t>By year-end, 73,700 appliance rebates had been issued using PGC funds</t>
  </si>
  <si>
    <t>Large SPC program was fully subscribed by May 23, 2001, with a total of 136 projects committed or paid.</t>
  </si>
  <si>
    <t>Financial incentives to equipment distributors stocking and selling premium efficiency motors.</t>
  </si>
  <si>
    <t>Applications received for more than 1,600 motors totaling 27,000 HP.</t>
  </si>
  <si>
    <t>Savings by Design committed 73 projects in 2001, totaling $552,000.</t>
  </si>
  <si>
    <t>Performance based Standard Performance Contract (SPC) similar to the Small Business SPC, targeted to dwelling units and common areas of apartment and condominium complexes and mobile home parks.</t>
  </si>
  <si>
    <t>Over 45,700 refrigerators and freezers recycled.  Make sure no double counting with (1) ARCA Summer Initiative &amp; (2) ES refrigerators in HER program.   8% of customers accepted the 5-pack CFL offer in lieu of $35 cash incentive…which resulted in 1,039 MWh and 1.01 MW of additional energy savings and demand reduction (counted in a CFL program?)</t>
  </si>
  <si>
    <t>CEC 05a</t>
  </si>
  <si>
    <t>CEC 05b</t>
  </si>
  <si>
    <t>Agriculture Peak Load Reduction Program: Peak Efficiency</t>
  </si>
  <si>
    <r>
      <t>Agriculture Peak Load Reduction Program</t>
    </r>
    <r>
      <rPr>
        <sz val="10"/>
        <rFont val="Arial"/>
        <family val="0"/>
      </rPr>
      <t>: Pump Repair</t>
    </r>
  </si>
  <si>
    <t>Other Targeted State Programs</t>
  </si>
  <si>
    <t>20/20 Rebate &amp; Residual Effects</t>
  </si>
  <si>
    <t>Summary of Programs, 2001</t>
  </si>
  <si>
    <r>
      <t>Water Agency Generation Retrofits</t>
    </r>
    <r>
      <rPr>
        <sz val="10"/>
        <rFont val="Arial"/>
        <family val="0"/>
      </rPr>
      <t> </t>
    </r>
  </si>
  <si>
    <t>Shahid Chaudhry</t>
  </si>
  <si>
    <t>916-654-4858</t>
  </si>
  <si>
    <t>schaudhr@energy.state.ca.us</t>
  </si>
  <si>
    <t>Bruce Ceniceros</t>
  </si>
  <si>
    <t>916-653-1590</t>
  </si>
  <si>
    <t>bcenicer@energy.state.ca.us</t>
  </si>
  <si>
    <t>Variety of contacts</t>
  </si>
  <si>
    <t>mrudman@energy.state.ca.us</t>
  </si>
  <si>
    <t>Nexant, Sean Harleman</t>
  </si>
  <si>
    <t>Virginia Lew</t>
  </si>
  <si>
    <t>916-654-3838</t>
  </si>
  <si>
    <t>vlew@energy.state.ca.us</t>
  </si>
  <si>
    <t>916-654-4006</t>
  </si>
  <si>
    <t>Nexant, Kevin Simmons</t>
  </si>
  <si>
    <t>Ricardo Amon</t>
  </si>
  <si>
    <t>916-654-4019</t>
  </si>
  <si>
    <t>Richard will be our contact...Warren can get us some savings info - will be minimal (7/16)</t>
  </si>
  <si>
    <t>ramon@energy.state.ca.us</t>
  </si>
  <si>
    <t>CSU Fresno. Cal Poly</t>
  </si>
  <si>
    <t>Nexant, Randy McCall</t>
  </si>
  <si>
    <t>Clint Lowell</t>
  </si>
  <si>
    <t>916-654-4554</t>
  </si>
  <si>
    <t>clowell@energy.state.ca.us</t>
  </si>
  <si>
    <t>Nexant, Ken Barnes</t>
  </si>
  <si>
    <t>Nexant,  Quarterly Report to the Legislature</t>
  </si>
  <si>
    <t>State Buildings</t>
  </si>
  <si>
    <t>Brad Meister</t>
  </si>
  <si>
    <t>916-653-1594</t>
  </si>
  <si>
    <t>bmeister@energy.state.ca.us</t>
  </si>
  <si>
    <t>Nexant, Mark Stetz</t>
  </si>
  <si>
    <t>Provides incentives to consumers who relinquish operational older refrigerators &amp; freezers</t>
  </si>
  <si>
    <t>JACO Environmental; Michael Dunham</t>
  </si>
  <si>
    <t>510-774-2062</t>
  </si>
  <si>
    <t>HMG; Cathy Chappell</t>
  </si>
  <si>
    <t>Residential Energy Star Lighting</t>
  </si>
  <si>
    <t>Comprehensive energy analysis and identification of EE opportunities for small and medium non-res customers following an on-site or on-line energy audit.</t>
  </si>
  <si>
    <t>Demonstration projects to showcase emerging EE technologies to large customers.  In conjunction with Emerging Technologies Coordinating Council (ETCC), comprised of IOUs</t>
  </si>
  <si>
    <t xml:space="preserve">Solar  tracking skylight system; three cool-roof contracts; </t>
  </si>
  <si>
    <t>Solicitation of innovative ideas and technologies from large non-res electric customers or third parties for peak demand reduction projects.  Targeted at large customers with peak demand over 500 kW.</t>
  </si>
  <si>
    <t>SDG&amp;E contracted with San Diego County Water Authority to implement this program; 1,379 vouchers redeemed  for the purchase/installation of qualifying equipment</t>
  </si>
  <si>
    <t>Program was awarded the Governor's Environmental and Economic Leadership Award in November 2001.</t>
  </si>
  <si>
    <t xml:space="preserve">Rebates to the smallest commercial customers with peak demand less than 50 kW, with special emphasis to customers in Enterprise-Zones. </t>
  </si>
  <si>
    <t>431 rebate applications received in 2001; 11 CFL turn-in events where 4,300 CFLs were distributed.</t>
  </si>
  <si>
    <t>84 projects funded, 11 cancelled for a net of 73 active at year-end;  fully committed with projects on the wait list.</t>
  </si>
  <si>
    <t>Helps businesses with monthly peak demands of 500kW or more replace inefficient equipment of a variety of efficient types.  Fixed price, performance management protocols, payment terms and other operating rules of the program specified in the program procedure manual.</t>
  </si>
  <si>
    <r>
      <t>Helps businesses with monthly peak demands under 500kW or more replace inefficient equipment of a variety of efficient types and offers other financial incentives.</t>
    </r>
    <r>
      <rPr>
        <sz val="10"/>
        <rFont val="Arial"/>
        <family val="0"/>
      </rPr>
      <t>   Fixed price, performance management protocols, payment terms and other operating rules of the program specified in the program procedure manual.</t>
    </r>
  </si>
  <si>
    <t>76 projects funded in 2001</t>
  </si>
  <si>
    <t>Demonstration of energy savings potential for commissioning building systems to attain efficiencies intended by designers and equipment manufacturers.</t>
  </si>
  <si>
    <t>Two funded projects completed by March 31, 2002: (a) controls, lighting controls and equipment repair at a department store; (b) maintenance, controls and equipment at an office facility.</t>
  </si>
  <si>
    <t>Demonstration of energy savings potential from retrofitting a leased space in at least one facility with multiple tenants to the tenants and building owners.</t>
  </si>
  <si>
    <t>Over 1,100 notices mailed; one implemented project</t>
  </si>
  <si>
    <t xml:space="preserve">Incentives to contractors to promote and install high efficiency HVAC units.  </t>
  </si>
  <si>
    <t>Incentives paid to over 40 participating contractors for 329 high efficiency HVAC units</t>
  </si>
  <si>
    <t>Financial incentives designed to improve the current stocking practices and installation of motors by local motor dealers by increasing the inventory stock of premium efficiency motors.</t>
  </si>
  <si>
    <t>Applications for stocking/installation of 275 motors from five participating distributors.</t>
  </si>
  <si>
    <t>Rebates for the purchase of qualifying Energy Star appliances in newly constructed single- or multi-family homes through participating design centers.</t>
  </si>
  <si>
    <t>Obtained commitments from builders to install 1,000 Energy Star appliances.</t>
  </si>
  <si>
    <t>Design assistance, advertising/marketing support, and incentives to builders, developers and design teams to encourage the design and construction of highly EE homes and duplexes.</t>
  </si>
  <si>
    <t xml:space="preserve">Desired measures: HVAC, lighting, water hearting, and other building-specific end-uses.  Two projects selected for funding among 26 proposals received.  </t>
  </si>
  <si>
    <t>Statewide program encouraging high performance non-res building design and construction for facilities undergoing remodeling or renovation.</t>
  </si>
  <si>
    <t>58 signed contracts in 2001 (37 committed and 21 installed)</t>
  </si>
  <si>
    <t>Program funds exhausted in October 2001 and program closed.</t>
  </si>
  <si>
    <t>863 rebate applications received and processed;  on-line rebate calculator developed in late 2001.</t>
  </si>
  <si>
    <t>Promotion of EE coin-operated horizontal clothes washers for laundromats and common-use laundry rooms in apartments, dormitories, and barracks.</t>
  </si>
  <si>
    <t>Support of national and regional initiatives that promote EE HVAC technologies, practices and industry infrastructure.  Focus on upstream developments in the HVAC market to accelerate adoption of EE HVAC technology and practices into codes and standards.</t>
  </si>
  <si>
    <t>Strategies to coordinate and align with the efforts of entities such as the CEC, US DOE, EPA, Consortium for Energy Efficiency (CEE), the Northwest Energy Efficiency Alliance (NEEA), the Northeast Energy Efficiency Partnership (NEEP), and other regional EE alliances.</t>
  </si>
  <si>
    <t>Program targeted at upstream market participants at the regional and national level, including HVAC manufacturers, HVAC organizations such as ACCA and the National Association for Technological Excellence (NATE), CEC, CIEE, USDOE, and other western utilities and consortia.</t>
  </si>
  <si>
    <t>RR&amp;R: Energy Information /Management Services</t>
  </si>
  <si>
    <t>EE surveys or audits offered via direct mail, phone, and/or Internet to inform and educate customers on specific energy uses in their homes and offer energy saving recommendations and program referrals.</t>
  </si>
  <si>
    <t>All energy surveys included general and peak demand reduction messages.  Program included a Hard to Reach component.</t>
  </si>
  <si>
    <t>CEC program.  LED traffic signal installations at 9,757 intersections throughout the state.</t>
  </si>
  <si>
    <t>Nexant verification.  Note that Source 1 reported 59 MW of peak MW reduction.</t>
  </si>
  <si>
    <t>CEC program.  Efficiency and demand reduction measures implemented at 242 sites.</t>
  </si>
  <si>
    <t xml:space="preserve">Nexant verification.   </t>
  </si>
  <si>
    <t>CEC program.  Conversation with Sylvia Bender, 8/8/02.  Souce 11 (Nexant) reports installations at 53 sites in 2001.</t>
  </si>
  <si>
    <t>SB 84xx</t>
  </si>
  <si>
    <t>OUTSIDE OF SCOPE.  Safety program, not an energy savings or demand reduction program</t>
  </si>
  <si>
    <t>MECA (Mayor's Energy Conservation Account)</t>
  </si>
  <si>
    <t>Safety feature to ensure operational traffic signals.  Not intended to save energy or reduce demand.  Over 2000 systems installed in 2001 at intersections where LED traffic signals have been installed.</t>
  </si>
  <si>
    <t>Interview with David Rubens of CEC, 8/28/02</t>
  </si>
  <si>
    <t>Demand Responsive Building Systems</t>
  </si>
  <si>
    <t>Cities and Counties</t>
  </si>
  <si>
    <t>Installation of real-time metering and communications systems to facilitate (measurement of) load reduction</t>
  </si>
  <si>
    <t>Mike Messenger</t>
  </si>
  <si>
    <t>Nexant verification</t>
  </si>
  <si>
    <t>CEC program.  Sylvia Bender on 8/28/02 to confirm with Mike Messanger whether this program was purely load shifting (in which case outside of scope) or entailed energy savings as well (in which case in scope).  Reported installations of demand responsiveness systems at 654 sites.  NOTE THAT ORIGINALLY WE AGREED THAT DEMAND RESPONSIVENESS WAS OUTSIDE OF SCOPE</t>
  </si>
  <si>
    <t>CEC OUT OF SCOPE</t>
  </si>
  <si>
    <t>The "20/20" Program (public awareness &amp; rates)</t>
  </si>
  <si>
    <t>Mass media campaign promoting conservation behavior and load shifting (away from peak hours).</t>
  </si>
  <si>
    <t>Mobile Efficiency Brigade</t>
  </si>
  <si>
    <t>Mandated by Governor Davis</t>
  </si>
  <si>
    <t>Residential (low-income / hard-to-reach)</t>
  </si>
  <si>
    <t>DGS</t>
  </si>
  <si>
    <t>California Department of Consumer Affairs (DCA)_</t>
  </si>
  <si>
    <t>DCA</t>
  </si>
  <si>
    <t>Department of Water Resources (DWR)</t>
  </si>
  <si>
    <t>Design assistance, advertising/marketing support, and incentives for the incorporation of EE features in multi-family residential buildings with three or more units.</t>
  </si>
  <si>
    <t>40 sales presentations to local architects, design consultants and builders; alliances with local housing authorities and non-profit organizations for the affordable housing market.</t>
  </si>
  <si>
    <t>$400 incentive for Energy Star qualifying homes;  $500 incentive for homes that exceeded Energy Star requirements by 10%; 90% of incentives paid to builder, 10% to designated energy support team.  Contracts signed for 1,258 qualifying housing units.</t>
  </si>
  <si>
    <t>Marketing support for all residential new construction programs, including HEPP, to encourage awareness of energy efficient housing.</t>
  </si>
  <si>
    <t>Promoted through SDG&amp;E's participation in multiple industry councils and associations.  Co-sponsored Pacific Coast Builders' Conference Building Industry Show, and sponsored multiple exhibits.  Consumer outreach through advertising, website and print brochures.</t>
  </si>
  <si>
    <t xml:space="preserve">Statewide standardized certification of new and existing constructions as a tool to assure quality of EE measures and validate (resale) value.    </t>
  </si>
  <si>
    <t>Principal activity was training inspectors; 200 inspectors trained</t>
  </si>
  <si>
    <t>Supports efforts in testing and demonstrating new EE technologies.  Funding discontinued in early 2001, with funds redirected to HEPP - MF and to Builder Training.</t>
  </si>
  <si>
    <t>Training seminars offered to builders, architects, and other members of the new construction industry.  Training coordinated with Building Industry Association (BIA) and American Institute of Architects (AIA).</t>
  </si>
  <si>
    <t>33 training seminars with 447 participants.  Topics included: HVAC sizing and installation; duct installation techniques; lighting; windows; selling EE upgrades, Title 24.</t>
  </si>
  <si>
    <t>Statewide program that provide information, technical assistance and financial incentives to building owners, architects, engineers, and design teams to promote the design and construction of EE facilities.</t>
  </si>
  <si>
    <t>193 contracts in 2001; more than 75 presentations delivered at various industry-sponsored events; outreach activities; marketing materials; incentives of up to $150k per project</t>
  </si>
  <si>
    <t>Integrated package of design tools and information resources designed to work in concert with Savings By Design.</t>
  </si>
  <si>
    <t>Software modeling tools; technology transfer through industry seminars, targeted training events and on-line; peer recognition for designers and developers of exemplary EE projects.</t>
  </si>
  <si>
    <t>San Diego Regional Energy Office (SDREO) designated to promote and implement the program</t>
  </si>
  <si>
    <t>Nonresidential Remodeling and Renovation (Tenant Improvement) (Savings By Design)</t>
  </si>
  <si>
    <t>Multi-Family Rebate (MF Residential Contractor Program - RCP)</t>
  </si>
  <si>
    <t>Single-Family Rebate (consolidated with SF RCP)</t>
  </si>
  <si>
    <t>Small complex self-sponsorship (SCSSP)</t>
  </si>
  <si>
    <t>Res - MF</t>
  </si>
  <si>
    <t>($/therm)</t>
  </si>
  <si>
    <t xml:space="preserve">All air sealing; from Mark Madera of LBL; </t>
  </si>
  <si>
    <t>Over 7,000 guides distributed by SDG&amp;E; No reported energy savings. SDG&amp;E survey indicated that participants scored 3% and 10% higher than non-participants in energy-efficiency awareness and knowledge, respectively. (May 02 filing, pg. 2-1)</t>
  </si>
  <si>
    <t>Reported savings based on units sold x avg savings/unit.  First year budget devoted primarily to building brand awareness.  Sales should increase in 2002.</t>
  </si>
  <si>
    <t xml:space="preserve">Reported savings based on units installed x avg savings rates. </t>
  </si>
  <si>
    <t>Reported savings based on engineering estimates and sample metering.</t>
  </si>
  <si>
    <t>omitted</t>
  </si>
  <si>
    <t>Department of General Services (DGS)</t>
  </si>
  <si>
    <t>California Conservation Corps (CCC)</t>
  </si>
  <si>
    <t>CCC</t>
  </si>
  <si>
    <t>Central heating/AC and lighting</t>
  </si>
  <si>
    <t>Hard to Reach: fixed income and elderly senior citizens living in mobile homes, non-English speaking also a focus</t>
  </si>
  <si>
    <t>Installations implemented in 1,290 mobile homes</t>
  </si>
  <si>
    <t>Non Res - Info</t>
  </si>
  <si>
    <t>Energy Efficiency Financing (Energy Cents)</t>
  </si>
  <si>
    <t>Building Operator Certification</t>
  </si>
  <si>
    <t>Small Comprehensive Technical Assistance</t>
  </si>
  <si>
    <t>Process Technical Assistance</t>
  </si>
  <si>
    <t>Building Efficiency Rating Tool</t>
  </si>
  <si>
    <t>Statewide Energy Guide</t>
  </si>
  <si>
    <t>Non Res - EMS</t>
  </si>
  <si>
    <t>Energy Audits</t>
  </si>
  <si>
    <t>Non Res - EE Incentives: Custom Rebates</t>
  </si>
  <si>
    <t>Non Res - EE Incentives: Prescriptive Rebates</t>
  </si>
  <si>
    <t>Emerging Technologies</t>
  </si>
  <si>
    <t>Peak Load Reduction (TPI)</t>
  </si>
  <si>
    <t>Express Efficiency</t>
  </si>
  <si>
    <t>Commercial Horizontal Washers Program</t>
  </si>
  <si>
    <t>"EZ" Turnkey Program</t>
  </si>
  <si>
    <t>Large Nonresidential Standard Performance Contract</t>
  </si>
  <si>
    <t>Small Business Standard Performance Contract</t>
  </si>
  <si>
    <t>Non Res - upstream</t>
  </si>
  <si>
    <t>Building Recommissioning TPI</t>
  </si>
  <si>
    <t>Retrofits in Leased Space TPI</t>
  </si>
  <si>
    <t>Midstream HVAC</t>
  </si>
  <si>
    <t>Upstream Motors</t>
  </si>
  <si>
    <t>Res - New Construction</t>
  </si>
  <si>
    <t>Home Energy Partnership Program (HEPP) - Appliances</t>
  </si>
  <si>
    <t>HEPP - Multi-Family</t>
  </si>
  <si>
    <t>HEPP - Single-Family</t>
  </si>
  <si>
    <t>Industry &amp; Consumer Information and Promotion</t>
  </si>
  <si>
    <t>California Home Energy Rating System (CHEERS)</t>
  </si>
  <si>
    <t>CEC Public Interest Energy Research (PIER)</t>
  </si>
  <si>
    <t>Builder Training</t>
  </si>
  <si>
    <t>Non Res - New Construction</t>
  </si>
  <si>
    <t>Energy Design Resources</t>
  </si>
  <si>
    <t>Industrial and Agricultural Process</t>
  </si>
  <si>
    <t>Other New Construction</t>
  </si>
  <si>
    <t>Richard Heath &amp; Associates</t>
  </si>
  <si>
    <t>Statewide Express Efficiency</t>
  </si>
  <si>
    <t>Lilia Villarreal</t>
  </si>
  <si>
    <t>(213) 244 - 3729</t>
  </si>
  <si>
    <t>lvillarreal@semprautilities.com</t>
  </si>
  <si>
    <t>Tyler &amp; Associates; Craig Tyler</t>
  </si>
  <si>
    <t>(510) 841 - 8038</t>
  </si>
  <si>
    <t>craigtyler@attbi.com</t>
  </si>
  <si>
    <t>N (see notes)</t>
  </si>
  <si>
    <t>Ex ante savings estimates applied to measure counts</t>
  </si>
  <si>
    <t>Energy Edge</t>
  </si>
  <si>
    <t>Detailed engineering estimates provided for each project</t>
  </si>
  <si>
    <t>Mobile Energy Clinic</t>
  </si>
  <si>
    <t>Taimin Tang</t>
  </si>
  <si>
    <t>(213) 244 - 3713</t>
  </si>
  <si>
    <t>ttang@semprautilities.com</t>
  </si>
  <si>
    <t>Provide customers with skills and tools needed to identify air compressor inefficiency and misapplication, reduce leakage, and recommmend system improvement</t>
  </si>
  <si>
    <t>Resource Conservation Management</t>
  </si>
  <si>
    <t>Schools</t>
  </si>
  <si>
    <t xml:space="preserve">Resource Conservation Managers at school districts identify opportunities for energy, water, and waste disposal savings in school facilities </t>
  </si>
  <si>
    <t>Paula Wiesner</t>
  </si>
  <si>
    <t>916-732-5433</t>
  </si>
  <si>
    <t>pwiesne@smud.org</t>
  </si>
  <si>
    <t>Annual Program Review; Vikki Wood</t>
  </si>
  <si>
    <t>Process</t>
  </si>
  <si>
    <t>Provides rebates for application of reflective roof coating that redcues A/C load</t>
  </si>
  <si>
    <t>Misha Sarkovich</t>
  </si>
  <si>
    <t>916-732-6484</t>
  </si>
  <si>
    <t>msarkov@smud.org</t>
  </si>
  <si>
    <t>Vending Machine Control</t>
  </si>
  <si>
    <t>"CPUC 2001 Energy Efficiency and Conservation Programs - Report to the Legislature".  CPUC Energy Division, December 2001.</t>
  </si>
  <si>
    <t>CEC: Energy Savings data provided by Sylvia Bender, calculated based on CEC estimates</t>
  </si>
  <si>
    <t>0 - 69,183</t>
  </si>
  <si>
    <t>0 - 45,220</t>
  </si>
  <si>
    <t>Several projects targeted at the New Construction (NC) sector administered and/or implemented by third parties (apart from Summer Initiatives).  Projects included: EE initiatives at new manufactured houses, "E-Quest" design software, and local gov't NC initiatives.</t>
  </si>
  <si>
    <t>SMUD Data provided by Richard Oberg (Non Res) and Warren Lindeleaf (Res)</t>
  </si>
  <si>
    <t>Sacramento Municipal Utility District (SMUD)</t>
  </si>
  <si>
    <t>included in Express Efficiency</t>
  </si>
  <si>
    <t>Non Res - Prescriptive Rebates</t>
  </si>
  <si>
    <t>Third Party Initiatives</t>
  </si>
  <si>
    <t>California Energy Commission (CEC)</t>
  </si>
  <si>
    <t>Los Angeles Department of Water and Power (LADWP)</t>
  </si>
  <si>
    <t>Carlos Ruiz</t>
  </si>
  <si>
    <t>(562) 803 - 7402</t>
  </si>
  <si>
    <t>cruiz@semprautilities.com</t>
  </si>
  <si>
    <t>(510) 864 - 8507</t>
  </si>
  <si>
    <t>Gas Air Conditioning Programs Impact Evaluation</t>
  </si>
  <si>
    <t>Residential New Construction</t>
  </si>
  <si>
    <t>CEC Project Summary By Funding Source, July 15, 2002.</t>
  </si>
  <si>
    <t>Savings By Design</t>
  </si>
  <si>
    <t>Res - Info</t>
  </si>
  <si>
    <t>Residential Statewide Energy Guide</t>
  </si>
  <si>
    <t>Information guide for residential customers on energy efficient technologies, products, services and behavior modifications. (English and Spanish).</t>
  </si>
  <si>
    <t>Information &amp; Education</t>
  </si>
  <si>
    <t>Grant
Hjelsand</t>
  </si>
  <si>
    <t>626-
302-
8131</t>
  </si>
  <si>
    <t>Grant.
Hjelsand
@sce.com</t>
  </si>
  <si>
    <t>SCE;
Grant
Hjelsand</t>
  </si>
  <si>
    <t>Pierre Landry</t>
  </si>
  <si>
    <t>626-302-8288</t>
  </si>
  <si>
    <t>Pierre.Landry@sce.com</t>
  </si>
  <si>
    <t>Xenergy; Mike Rufo</t>
  </si>
  <si>
    <t>510-891-0446</t>
  </si>
  <si>
    <t>"2000 and 2001 Nonresidential Large SPC Evaluation Study" (CALMAC.org)</t>
  </si>
  <si>
    <t>Carole
Quinn</t>
  </si>
  <si>
    <t>626-
302-
8249</t>
  </si>
  <si>
    <t>Carole.
Quinn
@sce.com</t>
  </si>
  <si>
    <t>SCE;
Carole
Quinn</t>
  </si>
  <si>
    <t>Richard Greenberg</t>
  </si>
  <si>
    <t>626-302-8735</t>
  </si>
  <si>
    <t>Richard.Greenberg@sce.com</t>
  </si>
  <si>
    <t>SCE: Richard Greenberg</t>
  </si>
  <si>
    <t>Jacqueline Jones</t>
  </si>
  <si>
    <t>626-302-8798</t>
  </si>
  <si>
    <t>Jacqueline.Jones@sce.com</t>
  </si>
  <si>
    <t>SCE: Jacqueline Jones</t>
  </si>
  <si>
    <t>SCE: George Coronel</t>
  </si>
  <si>
    <t>Danny Johnson</t>
  </si>
  <si>
    <t>559-685-3281</t>
  </si>
  <si>
    <t>danny.l.johnson@sce.com</t>
  </si>
  <si>
    <t>0 - 385,111</t>
  </si>
  <si>
    <t>0 - 38,552</t>
  </si>
  <si>
    <t>0 - 297,582</t>
  </si>
  <si>
    <t>0 - 59,450</t>
  </si>
  <si>
    <t>Program Cost per Revised Savings Range</t>
  </si>
  <si>
    <t>($/kW)</t>
  </si>
  <si>
    <t>TOTAL</t>
  </si>
  <si>
    <t>Non Res (C &amp; I)</t>
  </si>
  <si>
    <t>Non Res (Sm Comm)</t>
  </si>
  <si>
    <t>Non Res (Sm C&amp;I)</t>
  </si>
  <si>
    <t>Non Res (Ind)</t>
  </si>
  <si>
    <t>Non Res (Schools)</t>
  </si>
  <si>
    <t>Non Res (C&amp;I)</t>
  </si>
  <si>
    <t>New Construction (Non Res)</t>
  </si>
  <si>
    <t>New Construction (Res) </t>
  </si>
  <si>
    <t>Subtotal: Non Res</t>
  </si>
  <si>
    <t>Subtotal: New Construction</t>
  </si>
  <si>
    <t>Program Cost per Reported Savings</t>
  </si>
  <si>
    <t>Non Res (Commercial) and MF residential property owners</t>
  </si>
  <si>
    <t>Non Res (Comm)</t>
  </si>
  <si>
    <t>Tree Shading (Res)</t>
  </si>
  <si>
    <t>Subtotal:</t>
  </si>
  <si>
    <t xml:space="preserve">Subtotal: </t>
  </si>
  <si>
    <t>Other</t>
  </si>
  <si>
    <t>All Sectors</t>
  </si>
  <si>
    <t>PY2001 Programs</t>
  </si>
  <si>
    <t>New Construction</t>
  </si>
  <si>
    <r>
      <t>Financial Assistance for water and wastewater agencies to retrofit generators</t>
    </r>
    <r>
      <rPr>
        <sz val="10"/>
        <rFont val="Arial"/>
        <family val="0"/>
      </rPr>
      <t> </t>
    </r>
  </si>
  <si>
    <t>LED Traffic Signals</t>
  </si>
  <si>
    <t>Flex Your Power</t>
  </si>
  <si>
    <t>Evaluation Contractor</t>
  </si>
  <si>
    <t>Additional Comments (e.g. amount of program information, program impact, other sources, etc. )</t>
  </si>
  <si>
    <t>Implementation Contractor</t>
  </si>
  <si>
    <t>Firm Name and Contact Name (e.g. XYZ, Inc.; John Smith</t>
  </si>
  <si>
    <t>Program Manager                   (from your organization)</t>
  </si>
  <si>
    <t>Evaluation Study Manager (from your organization)</t>
  </si>
  <si>
    <t>Applied savings est. from previous year(s) or other source</t>
  </si>
  <si>
    <t>No savings est.</t>
  </si>
  <si>
    <t>"Berkeley Unplugged"</t>
  </si>
  <si>
    <t>Residential Energy Conservation Contest</t>
  </si>
  <si>
    <t>Alice LaPierre</t>
  </si>
  <si>
    <t>Berkeley Energy Commission</t>
  </si>
  <si>
    <t>Neal  De Snoo / Maria Sanders</t>
  </si>
  <si>
    <t>916-732-6718</t>
  </si>
  <si>
    <t>N - no formal M&amp;V study that Fran is aware of---</t>
  </si>
  <si>
    <t>in 2001, si funds were just for sdg&amp;e and pg&amp;e….</t>
  </si>
  <si>
    <t>Eval underway - metering will be done…savings based on DEER study…took peak savings 2-6…used peak 1-9…diff by SEER rating.  1/01-5/01 did distributor rebate…then changed to downstream...</t>
  </si>
  <si>
    <t>HVAC and Duct Improvement, windows, attic insulation and wall insulation</t>
  </si>
  <si>
    <t>Hershong &amp; Malon did savings; AHAM database used as benchmark…send spreadsheet…3,062 refrigerators picked up (</t>
  </si>
  <si>
    <t>Retail buy-down of CFLs in 2001: 15 replaces a 75; 61 kWh for 20W; 86 kWh for 23W; 0.012 for 15, 0.014W for 20, 0.020W for 23</t>
  </si>
  <si>
    <t>Provides rebates for Energy Star rated clothes washers &amp; room air conditioners  &amp; refrigerators</t>
  </si>
  <si>
    <t>7,333 refrigerators - 60kW, 413MWh…55kWh/unit (10% diff betw. ES and non ES unit assumed) and 0.008 kW; CEE tiers for CWs used; T</t>
  </si>
  <si>
    <t>Market Leader Incentives ("Comfort Home", etc.)</t>
  </si>
  <si>
    <t>Residential Equipment Efficiency Improvement</t>
  </si>
  <si>
    <t>Provides rebates &amp; financing for puchase of energy efficiency measures--included incentives to distributors of central A/C &amp; heat pumps</t>
  </si>
  <si>
    <t>Tools, Demonstrations, and Design Assistance</t>
  </si>
  <si>
    <t>Information and Education</t>
  </si>
  <si>
    <t>Incentives provided by the PUC for the use of high-efficiency pump and motor retrofits for oil and gas producers and pipeline operations. </t>
  </si>
  <si>
    <t>Sites: Cal Poly San Luis Obispo, Cal State Hayward, and UC Davis</t>
  </si>
  <si>
    <t>Residential Energy Conservation Ordinance (RECO)</t>
  </si>
  <si>
    <t>City of Berkeley</t>
  </si>
  <si>
    <t>C&amp;I - Small Business</t>
  </si>
  <si>
    <t xml:space="preserve">C&amp;I </t>
  </si>
  <si>
    <t>HH</t>
  </si>
  <si>
    <t>GF</t>
  </si>
  <si>
    <t>PUC input</t>
  </si>
  <si>
    <t>Richard will send us evaluation study week of July 15</t>
  </si>
  <si>
    <t>Mark Palmer (mark.palmer@sfgov.org)</t>
  </si>
  <si>
    <t>Provides consumer rebates for purchase of Energy Star rated central A/C &amp; heat pump units</t>
  </si>
  <si>
    <t>Carol Novak</t>
  </si>
  <si>
    <t>916-732-5443</t>
  </si>
  <si>
    <t>cnovak@smud.org</t>
  </si>
  <si>
    <t>Provides rebates on diagnostic testing and sealing of residential HVAC ducts</t>
  </si>
  <si>
    <t>SCE: Danny Johnson</t>
  </si>
  <si>
    <t>Rep. Eng. Sav. From source #1 through Sep'01; Q4:01 data not available.  ECOS may have contracted directly with IOUs and not CPUC.</t>
  </si>
  <si>
    <t>Shagun Boughen</t>
  </si>
  <si>
    <t>415-973-1290</t>
  </si>
  <si>
    <t>sxbq@pge.com</t>
  </si>
  <si>
    <t>Jim Staples from Staples-Hutchinson</t>
  </si>
  <si>
    <t>262-781-1890</t>
  </si>
  <si>
    <t>staples@staples-ad.com</t>
  </si>
  <si>
    <t>Allen Lee -- Xenergy</t>
  </si>
  <si>
    <t>503-226-6179</t>
  </si>
  <si>
    <t>alee@xenergy.com</t>
  </si>
  <si>
    <t>CLEO Lighting Program</t>
  </si>
  <si>
    <t>Cash incentives for the installation of qualifying lighting products for small to medium-sized commercial customers; rebate of $400 per peak kW reduced with lighting system retrofits</t>
  </si>
  <si>
    <t>Program Components</t>
  </si>
  <si>
    <t>Comments                                                             (e.g. amount of program information, program impact, other sources, contribution of each Component)</t>
  </si>
  <si>
    <t>Adm</t>
  </si>
  <si>
    <t>Inc</t>
  </si>
  <si>
    <t>Tot</t>
  </si>
  <si>
    <t>Res NC</t>
  </si>
  <si>
    <t>4,866 res units committed to participate - units expected to be built over the next few years…1,277 units committed to be installed by 5/31/02.</t>
  </si>
  <si>
    <t>Non Res Info</t>
  </si>
  <si>
    <t>Customer Technology Application Center (CTAC) &amp; Agricultural Technology Application Center (AgTAC)</t>
  </si>
  <si>
    <t xml:space="preserve">Intended to influence water agencies, municipalities, agricultural, and other pumping customers to adopt preventative maintenance practices that should ultimately improve the overall efficiency of their pumping systems. Hydraulic test specialists provide pump efficiency tests that determine overall plant system efficiency, electrical motor performance, pump hydraulics and water well characteristics. </t>
  </si>
  <si>
    <t>Non Res EMS</t>
  </si>
  <si>
    <t>Large Commercial and Industrial (EE Information) Services</t>
  </si>
  <si>
    <t>Non Res EMS (Large C&amp;I)</t>
  </si>
  <si>
    <t>Small Business Energy Survey / Sm/Med Energy Management Services</t>
  </si>
  <si>
    <t xml:space="preserve">Small &amp; Med C&amp;I </t>
  </si>
  <si>
    <t>Code-setting bodies; standards- &amp; ratings-setting  bodies; stakeholders to specific codes; code enforcers</t>
  </si>
  <si>
    <t>Non-Res New Construction</t>
  </si>
  <si>
    <t>Non Res New Construction</t>
  </si>
  <si>
    <t>SDG&amp;E: "Energy Efficiency Programs Annual Summary and Technical Appendix - 2001 Results." May 2002.</t>
  </si>
  <si>
    <t>Small C/I Do-It-Yourself Energy Survey - hardcopy, on-line, or CD ROM; provides customers with EE'y info to help reduce energy bills, introduces other EE'y products and services, such as rebates and retail outlets that feature ENERGY STAR®-rated products.  Augments other utility NR programs, providing special services to "under served" market segments, including minority and women owned businesses.  Promotes awareness of EE'y benefits and utility NR programs  to businesses, customer trade and ethnic associations.</t>
  </si>
  <si>
    <t>Nearly 1,000 direct rebates issued</t>
  </si>
  <si>
    <t>Non Res - cities and counties</t>
  </si>
  <si>
    <t>LED Traffic Signal Rebate</t>
  </si>
  <si>
    <t>(Lumped in as part of Express Efficiency)</t>
  </si>
  <si>
    <t>Can't find in Annual Report - ask Pierre</t>
  </si>
  <si>
    <t>Non Res - Upstream</t>
  </si>
  <si>
    <t>Non Res - Upstream (Industrial) --&gt; Motor Dealers</t>
  </si>
  <si>
    <t>dpma@pge.com</t>
  </si>
  <si>
    <t>Don Dohrmann from ADM</t>
  </si>
  <si>
    <t>916-363-8383</t>
  </si>
  <si>
    <t>dohrmann@adm-energy.com</t>
  </si>
  <si>
    <t>y</t>
  </si>
  <si>
    <t>Residential Appliance Efficiency</t>
  </si>
  <si>
    <t>Refrigerator Recycling</t>
  </si>
  <si>
    <t>Non Res - Lrg Comp. Retrofit (SPC), Financial Incentives</t>
  </si>
  <si>
    <t>Non Res - Sm. Comp. Retrofit (SPC), Financial Incentives</t>
  </si>
  <si>
    <t>Info &amp; educ. through exhibits at community events (e.g. Del Mar Fair), brochure distribution, and in-store displays</t>
  </si>
  <si>
    <t>SDG&amp;E participated in 60 community and corporate events with total attendance of 393,000 people; 400,000 brochures distributed</t>
  </si>
  <si>
    <t>none</t>
  </si>
  <si>
    <t>In-Store Energy Efficient Demonstration Co-op</t>
  </si>
  <si>
    <t>Energy Information Center</t>
  </si>
  <si>
    <t>Energy Management Services (EMS)</t>
  </si>
  <si>
    <t>State Building Retrofits</t>
  </si>
  <si>
    <t>SDG&amp;E - Res</t>
  </si>
  <si>
    <t>Promoted use of whole house fans instead of central ACs.  Incentives?  Typical energy bill savings of $100 per year.</t>
  </si>
  <si>
    <t>INDIVIDUAL UTILITY SUMMER INITIATIVES</t>
  </si>
  <si>
    <t>Admin</t>
  </si>
  <si>
    <t>Incent</t>
  </si>
  <si>
    <t>Total</t>
  </si>
  <si>
    <t>10 measures required at point of sale or major renovation</t>
  </si>
  <si>
    <t>Fees</t>
  </si>
  <si>
    <t>Neal  De Snoo</t>
  </si>
  <si>
    <t>City</t>
  </si>
  <si>
    <t>Commercial Energy Conservation Ordinance (CECO)</t>
  </si>
  <si>
    <t>32 measures required at point of sale or major renovation (whole bldg, not just renovated area)</t>
  </si>
  <si>
    <t>City &amp; Community Energy Services Corporation</t>
  </si>
  <si>
    <t>Berkeley's Best Builders</t>
  </si>
  <si>
    <t xml:space="preserve">Custom green building design assistance for new construction </t>
  </si>
  <si>
    <t>Green Resource Center</t>
  </si>
  <si>
    <t xml:space="preserve">Information to consumers and homebuilders on the benefits of purchasing EE homes through television, newspaper, Internet advertising, direct mail, and bill inserts.  </t>
  </si>
  <si>
    <t>Targeted homebuilders not participating in Comfort Home of Energy Star Showcase.  Marketing ad Ad campaign included TV commercial, homebuyer's kit, trade and consumer videos, bacng tails in local coupon mail-outs, newspaper inserts, signage for model homes and ads in buider/trade publications.</t>
  </si>
  <si>
    <t>Advertsing campaign was deemed successful enough to close two other programs - Comfort Home and Energy Star.</t>
  </si>
  <si>
    <t>Sales training on promoting Comfort Home and Energy Star Showcase to builder sales agents as well as subcontractors, building suppliers, energy consultants, CHEERS raters, and architects.</t>
  </si>
  <si>
    <t>Redesign of Comfort Home program in response to new AB 970 building standards.  Focus on multifamily new construction market, targeting hard-to-reach.  Incentives offered to contractors/construction companies.</t>
  </si>
  <si>
    <t>$4.5 in incentives committed for 7,100 Comfort Home and/or Energy Star units.  Program closed Nov. 1, 2001.</t>
  </si>
  <si>
    <t>Support to local governments to encourage residential new construction that exceeded current state EE standards and that qualified for PG&amp;E residential new construction incentive programs.</t>
  </si>
  <si>
    <t>Target entities: planning departments, environmental services departments, and city councils.  Participating cities: Oakland, Pleasanton, San Ramon, Livermore, Dublin; Participating county: Sonoma.</t>
  </si>
  <si>
    <t xml:space="preserve">Fostered integrated building design techniques and practices that contributed to EE facilities.  </t>
  </si>
  <si>
    <t>Targeted multiple new construction players, including: building owners, financial officers, architects, engineers, contractors,  builders, developers, energy consultants, and facilities personnel.</t>
  </si>
  <si>
    <t>Integrated package of design and performance tools, techniques, information and educational resources promoting the design and construction of high-performacne buildings.</t>
  </si>
  <si>
    <t>Res Lighting - Targeted Information and Market Facilitation</t>
  </si>
  <si>
    <t>Res Lighting - Improved CFL and Emerging Technologies</t>
  </si>
  <si>
    <t>Statewide Residential Lighting Program</t>
  </si>
  <si>
    <t>Res - Appliances</t>
  </si>
  <si>
    <t>Res Appliances - Targeted Information Delivery</t>
  </si>
  <si>
    <t>Statewide Residential Appliance Program</t>
  </si>
  <si>
    <t>Res - Retrofit &amp; Renovation (Res R&amp;R)</t>
  </si>
  <si>
    <t>Res - Retrofit &amp; Renovation (RR&amp;R)</t>
  </si>
  <si>
    <t>RR&amp;R: Promotion and Facilitation of Comprehensive, Discretionary Retrofit Services</t>
  </si>
  <si>
    <t xml:space="preserve">RR&amp;R: Energy Efficiency Centers </t>
  </si>
  <si>
    <t>RR&amp;R: General Information, Education, Labeling and Alliances</t>
  </si>
  <si>
    <t>Last EEM report was for 2000 program</t>
  </si>
  <si>
    <t>RR&amp;R: Facilitation of Efficiency Retrofit and Renovation at Time of Sale (TOSER)</t>
  </si>
  <si>
    <t>Non Res - Lrg Comp. Retrofit</t>
  </si>
  <si>
    <t>Non Res - Sm. Comp. Retrofit</t>
  </si>
  <si>
    <t>Non Res</t>
  </si>
  <si>
    <t>HVAC Turnover</t>
  </si>
  <si>
    <t>Non Res - Motor Turnover</t>
  </si>
  <si>
    <t>90 builder sales agents attended six sales training classes.</t>
  </si>
  <si>
    <t>Program was cancelled in November 2001 due to success of Res New Construction information program's advertising campaign.</t>
  </si>
  <si>
    <t xml:space="preserve">Promotion of Energy Star new homes to builders within PG&amp;E's service territory.  Results from CHEERS ratings used to calculate energy savings.  </t>
  </si>
  <si>
    <t>Builders committed to build 450 Energy Star Showcase Home units through Nov. 1, 2001, when the program was closed</t>
  </si>
  <si>
    <t>PG&amp;E Energy Efficiency Programs Annual Report for Program Year 2001</t>
  </si>
  <si>
    <t>Training and technical assistance to builders and HVAC contractors through statewide training calendar coordinated with other IOUs.</t>
  </si>
  <si>
    <t>39 Builder Resource Guides were distributed at training sessions and upon request from builders.</t>
  </si>
  <si>
    <t>Information; (includes In- Home, Telephone, Mail-In, and On-Line survey modes?)</t>
  </si>
  <si>
    <t>56,000 residential energy surveys completed in 2001 (8,600 of which were on-line). Beware of double-counting of savings results with other information and rebate programs</t>
  </si>
  <si>
    <t>Information; energy rating audit/verification tool for new and existing homes</t>
  </si>
  <si>
    <t>2001 was devoted to supporting new Title 24 standards; conducted 1,000 3rd party inspections and verifications; 19 CHEERS ratings; 5,149 Energy Wizards</t>
  </si>
  <si>
    <t>SCE provided: (a) funding to appliance manuf's to promote Energy-Star qualified products, (b) special labeling materials for retailers, (c) collateral and training for retailers</t>
  </si>
  <si>
    <t>In 2001, recruited 179 appliance stores to participate</t>
  </si>
  <si>
    <t>DWR</t>
  </si>
  <si>
    <t>$350M est. total cost, of which $286M were IOU rebates and the rest mktg, promotion, admin, etc.</t>
  </si>
  <si>
    <t>Eligibility / Area</t>
  </si>
  <si>
    <t>Program Name</t>
  </si>
  <si>
    <t>Program Description</t>
  </si>
  <si>
    <r>
      <t>Residential</t>
    </r>
    <r>
      <rPr>
        <sz val="10"/>
        <rFont val="Arial"/>
        <family val="0"/>
      </rPr>
      <t> </t>
    </r>
  </si>
  <si>
    <r>
      <t>Industrial</t>
    </r>
    <r>
      <rPr>
        <sz val="10"/>
        <rFont val="Arial"/>
        <family val="0"/>
      </rPr>
      <t> </t>
    </r>
  </si>
  <si>
    <r>
      <t>Duct Improvement Program</t>
    </r>
    <r>
      <rPr>
        <sz val="10"/>
        <rFont val="Arial"/>
        <family val="0"/>
      </rPr>
      <t> </t>
    </r>
  </si>
  <si>
    <r>
      <t>Home Auditing Program</t>
    </r>
    <r>
      <rPr>
        <sz val="10"/>
        <rFont val="Arial"/>
        <family val="0"/>
      </rPr>
      <t> </t>
    </r>
  </si>
  <si>
    <r>
      <t>Large Nonresidential Standard Performance Contract</t>
    </r>
    <r>
      <rPr>
        <sz val="10"/>
        <rFont val="Arial"/>
        <family val="0"/>
      </rPr>
      <t> </t>
    </r>
  </si>
  <si>
    <t>PG&amp;E</t>
  </si>
  <si>
    <t>John Nall</t>
  </si>
  <si>
    <t>626-302-8782</t>
  </si>
  <si>
    <t>John.Nall@sce.com</t>
  </si>
  <si>
    <t>SCE; John Nall</t>
  </si>
  <si>
    <t>Gary Suzuki</t>
  </si>
  <si>
    <t>626-
302-8766</t>
  </si>
  <si>
    <t>Gary.Suzuki@sce.com</t>
  </si>
  <si>
    <t>SCE; 
Gary Suzuki</t>
  </si>
  <si>
    <t>Marian
Brown</t>
  </si>
  <si>
    <t>626-
302-
8281</t>
  </si>
  <si>
    <t>Marian.
Brown
@sce.com</t>
  </si>
  <si>
    <t>George Coronel</t>
  </si>
  <si>
    <t>626-302-6637</t>
  </si>
  <si>
    <t>George.Coronel@sce.com</t>
  </si>
  <si>
    <t>Non Res - Motor Turnover: Financial Incentives</t>
  </si>
  <si>
    <t>Non Res - Motor Turnover: Design Assistance</t>
  </si>
  <si>
    <t>Statewide program where utilities jointly participated in co-op projects with three manufacturers to promote ES torchieres and CFL bulbs to retailers.  Incorporates SDG&amp;E Lighting component, whereby SDG&amp;E augmented statewide program with additional lighting manufacturer buy-downs.</t>
  </si>
  <si>
    <t>Information on EE'y to introduce customers to state of the art EE technology through workshops and seminars</t>
  </si>
  <si>
    <t>3,913 on-line audit sessions; 579 on-site audits;  117 audit follow-up phone surveys</t>
  </si>
  <si>
    <t>Statewide program providing standard rebates to customers for the installation of energy efficient equipment.  Implemented through alliance of trade allies (contractors and distributors) and targeted to small and medium commercial customers.</t>
  </si>
  <si>
    <t>Multi-faceted program targeting designers, architects, engineers, developers, builders, energy consultants, contractors/sub-contractors, sales agents and homebuyers.</t>
  </si>
  <si>
    <t>Statewide program; cooperation with state and local governments to facilitate, educate, train and support people who implement and develop energy codes, standards and initiatives.</t>
  </si>
  <si>
    <t>Residential Contractor Program</t>
  </si>
  <si>
    <t>Climate zone specific ex ante savings applied for each customer application/measure</t>
  </si>
  <si>
    <t>Equipoise; Mary Sutter</t>
  </si>
  <si>
    <t>Program targeted at the commercialization of emerging, high-efficiency, gas-fired residential technologies.  Specific technologies promoted included: high-efficiency water heaters, new gas ranges with smooth glass tops, hearth products, and novel combo heating systems.</t>
  </si>
  <si>
    <t>Non Res - Process Overhaul</t>
  </si>
  <si>
    <t>Non Res - Process Overhaul: Info &amp; Educ.</t>
  </si>
  <si>
    <t>CEC Programs [b]</t>
  </si>
  <si>
    <t>Major Municipal Programs [c]</t>
  </si>
  <si>
    <t>Locally Administered SBx1 5 [d]</t>
  </si>
  <si>
    <t>Other Targeted State Programs [e]</t>
  </si>
  <si>
    <t>State Building and Facilities Retrofits (DGS  - Dep't of General Services)</t>
  </si>
  <si>
    <t>&amp; Mobile Efficiency Light Brigade "PowerWalk" (CCC - California Conservation Corps)</t>
  </si>
  <si>
    <t xml:space="preserve">    Statewide TPI [1]</t>
  </si>
  <si>
    <t xml:space="preserve">    Statewide Utility [2]</t>
  </si>
  <si>
    <t xml:space="preserve">    Utility TPI [3]</t>
  </si>
  <si>
    <t xml:space="preserve">    Local Programs [4]</t>
  </si>
  <si>
    <t>[1]</t>
  </si>
  <si>
    <t>[2]</t>
  </si>
  <si>
    <t>[3]</t>
  </si>
  <si>
    <t>[4]</t>
  </si>
  <si>
    <t>20/20 Rebate &amp; Residual Effects [f]</t>
  </si>
  <si>
    <t xml:space="preserve">     20/20 Rebate Program [g]</t>
  </si>
  <si>
    <t xml:space="preserve">     "Flex Your Power" and other [h]</t>
  </si>
  <si>
    <t>"Flex Your Power" funded through Department of Consumer Affairs. "Other" factors include rates and general media coverage of energy crisis in 2001.</t>
  </si>
  <si>
    <t xml:space="preserve">[i] </t>
  </si>
  <si>
    <t>Costs do not include administrative or evaluation costs, which were not available;</t>
  </si>
  <si>
    <t xml:space="preserve">Cost per Lifetime kWh Saved [i]  ($/kWh)               </t>
  </si>
  <si>
    <t>Non Res - Process Overhaul: Design Assistance</t>
  </si>
  <si>
    <t>Non Res - Remodeling &amp; Renovation</t>
  </si>
  <si>
    <t>Non Res - Remodeling &amp; Renovation: Financial Incentives</t>
  </si>
  <si>
    <t>Non Res - Remodeling &amp; Renovation: Design Assistance</t>
  </si>
  <si>
    <t>Financial Incentives</t>
  </si>
  <si>
    <t>Savings shown are for trees planted in 2001; these savings will be fully realized at tree maturity in approx. 30 years.  Savings realized in 2001 would actually be from trees planted since program start in 1990--there is no estimate of the savings at this slice in time.</t>
  </si>
  <si>
    <t>CEC funded program - funded similar program for LADWP</t>
  </si>
  <si>
    <t>Refrigeration</t>
  </si>
  <si>
    <t>Free tune-ups of refrigeration equipment for small commercial customers (e.g. small grocery stores, florist shops, small restaurants); performed by contractors</t>
  </si>
  <si>
    <t>Refrigeration tune-ups</t>
  </si>
  <si>
    <t>Project Completion Incentives</t>
  </si>
  <si>
    <t>Customized incentives for various energy efficiency retrofit measures</t>
  </si>
  <si>
    <t>Glenn Watanabe/Anson Battershell</t>
  </si>
  <si>
    <t>916-732-5413/ 916-732-5415</t>
  </si>
  <si>
    <t>gwatana@smud.org/abatter@smud.org</t>
  </si>
  <si>
    <t>N/A</t>
  </si>
  <si>
    <t>Richard Oberg</t>
  </si>
  <si>
    <t>916-732-7092</t>
  </si>
  <si>
    <t>roberg@smud.org</t>
  </si>
  <si>
    <t>RLW Analytics; Matt Brost</t>
  </si>
  <si>
    <t>707-939-8823</t>
  </si>
  <si>
    <t>mattb@rlw.com</t>
  </si>
  <si>
    <t>Combination of statewide or IOU-specific projects administered by either the IOUs or third-party implementers</t>
  </si>
  <si>
    <t>Includes the energy savings credited to the 20/20 Rebate Program and demand reduction attributed to the 20/20 Rebate program,</t>
  </si>
  <si>
    <t>Flex Your Power, and other "residual" effects, as tracked by the CEC</t>
  </si>
  <si>
    <t xml:space="preserve">Savings from 20/20 Rebate program have been adjusted to correct for double counting, per the analysis specified in Section 3.11 of this report.  </t>
  </si>
  <si>
    <t>Funded through Department of Water Resources.</t>
  </si>
  <si>
    <t>Based on weighted average lifetimes of measures for each program category, and a discount rate of 8%.</t>
  </si>
  <si>
    <t>Support of EE efforts among small- and medium-sized non-res customers through the Support Center Hotline and the Equipment and Services Directory. The Hotline is a direct source for industrial and commercial customers to receive immediate answers to questions. The Directory is a web-based resource with lists of equipment suppliers, energy consultants, energy providers, and other related energy services.</t>
  </si>
  <si>
    <t>Objective to promote EE awareness among  laundry and dry cleaner owners and operators, focusing on efficiency opportunities for commercial boilers, washers, and dry cleaning equipment.   Also provided info on financing and other available programs.  Included rebates for high-efficiency clothes washers.  Six workshops conducted in 2001.</t>
  </si>
  <si>
    <t xml:space="preserve">Third-party implemented project to provide evaluation of EE retrofit options available to customers.   SCG shares cost of services with customers.  </t>
  </si>
  <si>
    <t>Comprised of four components: (1) Integrated Food Service Retrofit; (2) Comprehensive Space Conditioning Efficiency Improvement; (3) Advanced Water Heating Systems; (4) Advanced Engine Technology.</t>
  </si>
  <si>
    <t>Newcomb Anderson Associates, Ann Mc Cormick</t>
  </si>
  <si>
    <t>Ten winners' aggregate monthly kWh savings as of January 2001</t>
  </si>
  <si>
    <t>Pilot program in 2001.  Annualized reported energy savings.  Engineering analysis using California Energy Commission values. Retrofitted 15 business from August 1 to October 1 2001, going door to door in certain neighborhoods for small commercial establishments. Ultimately became PowerSavers.  47 installations through January 2002. www.sfgov.org/sfenvironment/aboutus/energy: Goals by 2003: conduct 6,000 small businesses audits that will reduce peak summer use by 6 MW and save 24 GWh annually.  Bill Peden &amp; Cal Broomhead: 1.8 kW/site savings assumed; 1.37 peak kW/site savings assumed using coincident demand coefficients from PG&amp;E.</t>
  </si>
  <si>
    <t>Energy efficiency retrofits at state buildings and facilities</t>
  </si>
  <si>
    <t>SB 5X funds covered implementation of EE projects.  Supplemental AB 970 funds of $5.5 M later added to fund 176 energy audits and demand response metering systems - this is captured as a separate program element within the CEC State and Public University Buildings Program.</t>
  </si>
  <si>
    <t>17-week campaign providing CFLs to residents in "working class neighborhoods" door-to-door</t>
  </si>
  <si>
    <t>Check and correct refrigerant charge and air flow, perform cleaning of refrigeration systems, rooftop A/C</t>
  </si>
  <si>
    <t>Glenn Watanabe</t>
  </si>
  <si>
    <t>916-732-5413</t>
  </si>
  <si>
    <t>gwatana@smud.org</t>
  </si>
  <si>
    <t>Wim Bos</t>
  </si>
  <si>
    <t>916-732-6579</t>
  </si>
  <si>
    <t>wbos@smud.org</t>
  </si>
  <si>
    <t>Building Controls Retrocommissioning</t>
  </si>
  <si>
    <t>Identify low-/no-cost operational improvements to building controls, train building operators</t>
  </si>
  <si>
    <t>Mazin Kellow</t>
  </si>
  <si>
    <t>(a) hardwired-FLs; e-ballasts; T-8 or T-5 lamps w/e-ballasts; ext. or int. HID fixtures (or HOT 5?); LED exit signs; induction lamps and fixtures; (b) screw-in CFLs; occ. sensors; photocells and time clocks</t>
  </si>
  <si>
    <t>Cool Schools</t>
  </si>
  <si>
    <t>Trees for a Green LA</t>
  </si>
  <si>
    <t>Tree Shading</t>
  </si>
  <si>
    <t>Shade tree planting at schools</t>
  </si>
  <si>
    <t>Distributing trees for shade planting to residential customers, along with an promotional campaign</t>
  </si>
  <si>
    <t>LADWP through AB 1870</t>
  </si>
  <si>
    <t>approx. 700 trees planted in 2001</t>
  </si>
  <si>
    <t>2001 was planning and program dev't &amp; funding stage; no trees planted until April 2002</t>
  </si>
  <si>
    <t>HVAC Incentives Program</t>
  </si>
  <si>
    <t>(1) Rebates on AC Tune-Ups performed by pre-qualified contractors - $60 co-pay per commercial unit and $40 co-pay per residential unit; (2) Contractor incentives for installing Energy-Star rated heat pump and AC units</t>
  </si>
  <si>
    <t>mkellow@smud.org</t>
  </si>
  <si>
    <t>Compressed Air Initiative</t>
  </si>
  <si>
    <t>Integrated package of design tools and information resources that promote the design and construction of high-performance buildings.  Website offers interactive resources and downloadable tools. Complements and generates project leads for Savings By Design. Validates and provides peer recognition for designers (architects, engineers, lighting designers, energy consultants) and developers of exemplary EE projects.</t>
  </si>
  <si>
    <t>18 in-house seminars provided to local architectural and engineering firms; 26,000 website hits; 24,900 MB downloaded.</t>
  </si>
  <si>
    <t xml:space="preserve">Statewide IOU program encouraging EE commercial building design and construction. Seeks to permanently reduce the transaction costs associated with developing and evaluating energy efficient design alternatives. Seeks to improve the comfort, efficiency, and performance of buildings by promoting an integrated team approach to design. The NR Retrofit and Renovation program is also covered under the SBD program although implementation may differ by utility. </t>
  </si>
  <si>
    <t>Budget ($ thousand)</t>
  </si>
  <si>
    <t>Budget ($ thousand))</t>
  </si>
  <si>
    <t xml:space="preserve">An energy efficiency information and education program designed to give customers the power to better manage their business energy costs. The program provides general energy efficiency information to customers and other market actors through the following intervention strategies: Internet, statewide energy guide, and action plan for distribution, and possibly a statewide mass market communications plan involving radio or print. </t>
  </si>
  <si>
    <t>Agricultural/Pumping Services</t>
  </si>
  <si>
    <t>Premium Efficiency Motor Distribution Incentives</t>
  </si>
  <si>
    <t>1,083 motors processed</t>
  </si>
  <si>
    <t>Non Res - Upstream (Commercial) --&gt;HVAC installation contractors</t>
  </si>
  <si>
    <t>HVAC Contractor Program</t>
  </si>
  <si>
    <t>Provides energy information and education to customers to better manage their business energy costs; Provides energy information for office buildings, grocery stores, restaurants, retail outlets and manufacturing facilities; Brochure currently available in English, Spanish and Chinese.  Target markets includes commercial businesses, business trade/vendor shows, Small Business Associations, Chambers of Commerce, building permits and government offices.</t>
  </si>
  <si>
    <t>Non-Res Information</t>
  </si>
  <si>
    <t>Power Savers (Small Business Commercial Lighting Program)</t>
  </si>
  <si>
    <t>Evaluation of 2001 Pool Pump program</t>
  </si>
  <si>
    <t>billing &amp; eng</t>
  </si>
  <si>
    <t>X</t>
  </si>
  <si>
    <t>David Hickman</t>
  </si>
  <si>
    <t>415 973-4833</t>
  </si>
  <si>
    <t>DGH0@pge.com</t>
  </si>
  <si>
    <t>(info coming from Dave Hickman)</t>
  </si>
  <si>
    <t>Helen Fisicaro</t>
  </si>
  <si>
    <t>415 973-1022</t>
  </si>
  <si>
    <t>HHF1@pge.com</t>
  </si>
  <si>
    <t>Ken James?</t>
  </si>
  <si>
    <t>Kathy Burney</t>
  </si>
  <si>
    <t>415 973-2890</t>
  </si>
  <si>
    <t>KLJ3@pge.com</t>
  </si>
  <si>
    <t>various cities</t>
  </si>
  <si>
    <t>NA</t>
  </si>
  <si>
    <t>invoices from cities</t>
  </si>
  <si>
    <t>statewide engineering analysis of LED signal energy use and savings</t>
  </si>
  <si>
    <t>973-2164</t>
  </si>
  <si>
    <t>Final reports available for each…</t>
  </si>
  <si>
    <t>This was a "deemed savings" program, with program savings based on reported installations multiplied by deemed savings estimates</t>
  </si>
  <si>
    <t>One residential program, 12 commercial programs</t>
  </si>
  <si>
    <t>Betsy Krieg</t>
  </si>
  <si>
    <t>415 973-0016</t>
  </si>
  <si>
    <t>ELK1@pge.com</t>
  </si>
  <si>
    <t>various firms</t>
  </si>
  <si>
    <t>several staff</t>
  </si>
  <si>
    <t>commercial buildings</t>
  </si>
  <si>
    <t>elk1@PGE.COM</t>
  </si>
  <si>
    <t>City of Oakland, Catherine Payne</t>
  </si>
  <si>
    <t>510 238-6316</t>
  </si>
  <si>
    <t>CPayne@oaklandnet.com</t>
  </si>
  <si>
    <t>(415) 434-2600</t>
  </si>
  <si>
    <t>ann_mccormick@emcorgroup.com</t>
  </si>
  <si>
    <t>Independent Monitoring and Evaluation Report</t>
  </si>
  <si>
    <t>commercial building</t>
  </si>
  <si>
    <t>chiller replacement at Oakland Museum</t>
  </si>
  <si>
    <t>City of Oakland, Scott Wentworth</t>
  </si>
  <si>
    <t>510 615-5421</t>
  </si>
  <si>
    <t>swentworth@oaklandnet.com</t>
  </si>
  <si>
    <t>Nexant, Allan Barth</t>
  </si>
  <si>
    <t>abarth@nexant.com</t>
  </si>
  <si>
    <t>evaluation report</t>
  </si>
  <si>
    <t>Industrial </t>
  </si>
  <si>
    <t>Humboldt Creamery, Mike Callihan</t>
  </si>
  <si>
    <t>707 725-6182</t>
  </si>
  <si>
    <t>mikec@humboldtcreamery.com</t>
  </si>
  <si>
    <t>Industrial Electric Service Co., James W. Rankins, PE</t>
  </si>
  <si>
    <t>Non Res - Sm. Comp. Retrofit (SPC), Information and Education</t>
  </si>
  <si>
    <t>Program Category</t>
  </si>
  <si>
    <t>Number of Programs Assumed in Proposal</t>
  </si>
  <si>
    <t>Number of Programs Identified</t>
  </si>
  <si>
    <t xml:space="preserve">Reported Cost ($mill)               </t>
  </si>
  <si>
    <t>Electricity Savings (GWh) (from CPUC thru 9/01)</t>
  </si>
  <si>
    <t xml:space="preserve">Reported Demand Savings (MW)               </t>
  </si>
  <si>
    <t xml:space="preserve">Cost per kWh Saved  ($/kWh)               </t>
  </si>
  <si>
    <t>#1</t>
  </si>
  <si>
    <t>CPUC-Funded, IOU Administered</t>
  </si>
  <si>
    <t>#2</t>
  </si>
  <si>
    <t>#3</t>
  </si>
  <si>
    <t>#4</t>
  </si>
  <si>
    <t xml:space="preserve">     LADWP</t>
  </si>
  <si>
    <t xml:space="preserve">     SMUD</t>
  </si>
  <si>
    <t>#5</t>
  </si>
  <si>
    <t xml:space="preserve">     City of Berkeley</t>
  </si>
  <si>
    <t xml:space="preserve">     City of San Francisco</t>
  </si>
  <si>
    <t>#6</t>
  </si>
  <si>
    <t>na = Not Applicable</t>
  </si>
  <si>
    <t>[a]</t>
  </si>
  <si>
    <t>"Beat the Heat" (Ecos); Refrigerator Recycling (ARCA); UC/CSU Campus; Oil Pumping (COPE)</t>
  </si>
  <si>
    <t>[b]</t>
  </si>
  <si>
    <t>Pool Efficiency; Res-Team Hard to Reach; LED Traffic Signals</t>
  </si>
  <si>
    <t>[c]</t>
  </si>
  <si>
    <t xml:space="preserve">Multiple third-party projects bundled by each IOU (PG&amp;E, SCE, and SDG&amp;E) as a single "program"  </t>
  </si>
  <si>
    <t>[d]</t>
  </si>
  <si>
    <t>4 PG&amp;E projects and 2 SDG&amp;E projects</t>
  </si>
  <si>
    <t>[e]</t>
  </si>
  <si>
    <t>Previously referred to in proposal and research plan as "State Public Awareness"</t>
  </si>
  <si>
    <t>20/20 Rebate Program (DWR - Department of Water Resources)</t>
  </si>
  <si>
    <t>Flex Your Power (DCA - Department of Consumer Affairs))</t>
  </si>
  <si>
    <t>State Building and Facilities Retrofits (DGS  - Department of General Services)</t>
  </si>
  <si>
    <t>Mobile Efficiency Light Brigade "PowerWalk" (CCC - California Conservation Corps)</t>
  </si>
  <si>
    <t>[f]</t>
  </si>
  <si>
    <t>Adjusted savings from 20/20 net of double-counting, per analysis specified in Section 4.8</t>
  </si>
  <si>
    <t>Support for home energy ratings</t>
  </si>
  <si>
    <t>Promotion of whole house conservation approaches through formal certification process to validate the value of energy efficiency improvements</t>
  </si>
  <si>
    <t>Residential Upstream Gas Air Conditioning Program</t>
  </si>
  <si>
    <t>1) Promotion of the replacement of existing, older, inefficient 2-5 ton natural gas air conditioning units; 2) support for the development of natural gas heat pump; 3) support for continued commercialization of energy efficient natural gas air conditioning units</t>
  </si>
  <si>
    <t>Emerging Technologies Program</t>
  </si>
  <si>
    <t xml:space="preserve">Statewide Residential Appliances Program </t>
  </si>
  <si>
    <t>Non Residential Information Program</t>
  </si>
  <si>
    <t>Energy Resource Center</t>
  </si>
  <si>
    <t>Non Residential HVAC Training Program</t>
  </si>
  <si>
    <t>Lodging Industry Education Program</t>
  </si>
  <si>
    <t>Provides energy efficiency evaluations and maintenance services to hard-to-reach small commercial customers</t>
  </si>
  <si>
    <t>Commercial Energy Management Services Program</t>
  </si>
  <si>
    <t>Industrial Energy Management Services Program</t>
  </si>
  <si>
    <t>Commercial Equipment Replacement Program</t>
  </si>
  <si>
    <t>Industrial Energy Efficiency Incentives Program</t>
  </si>
  <si>
    <t>Non Res - EE Incentives</t>
  </si>
  <si>
    <t>Small Commercial Upstream Gas Air Conditioning</t>
  </si>
  <si>
    <t>High Efficiency Medium Tonnage Natural Gas Cooling Field Demonstration</t>
  </si>
  <si>
    <t>New Energy Advantage Home Program</t>
  </si>
  <si>
    <t>Statewide Savings By Design</t>
  </si>
  <si>
    <t>Statewide Codes and Standards Programs</t>
  </si>
  <si>
    <t>New Construction - upstream</t>
  </si>
  <si>
    <t>"Livingwise" Schools Program</t>
  </si>
  <si>
    <t>Energy Efficiency Renovation Service - "Performance 4"</t>
  </si>
  <si>
    <t>Codes and Standards Support &amp; Local Government Initiatives</t>
  </si>
  <si>
    <t>Non Res - EE Incentives: B/C SPC</t>
  </si>
  <si>
    <t>Folded into "Savings By Design" since SDG&amp;E's ind &amp; ag mkts are small</t>
  </si>
  <si>
    <t>Non Res - New Construction (Ag &amp; Ind)</t>
  </si>
  <si>
    <t>Changing Sprinkler System to Drip Irrigation; Low Pressure Sprinkler Nozzles</t>
  </si>
  <si>
    <t>Res</t>
  </si>
  <si>
    <t>Forecasted Savings</t>
  </si>
  <si>
    <t>SDG&amp;E Results: 11,831 households; 10,856 refrigerators recycled; 2,079 freezers recycled</t>
  </si>
  <si>
    <t>707 822-2485</t>
  </si>
  <si>
    <t>X - metering</t>
  </si>
  <si>
    <t>residential and commercial</t>
  </si>
  <si>
    <t>Presidio Trust, Steven Radcliffe</t>
  </si>
  <si>
    <t>415 561-5338</t>
  </si>
  <si>
    <t>sradcliffe@presidiotrust.gov</t>
  </si>
  <si>
    <t>Equipoise Consulting and Ridge Associates, Mary Sutter</t>
  </si>
  <si>
    <t>510 864-8507</t>
  </si>
  <si>
    <t>msutter@alamedanet.net</t>
  </si>
  <si>
    <t>Peter Turnbull</t>
  </si>
  <si>
    <t>PWT1@pge.com</t>
  </si>
  <si>
    <t>COPE, Bob Fickes</t>
  </si>
  <si>
    <t>562 495-9328</t>
  </si>
  <si>
    <t>Bobfic@earthlink.net</t>
  </si>
  <si>
    <t>Nexant, Jeff Cox</t>
  </si>
  <si>
    <t>760 741-3970</t>
  </si>
  <si>
    <t>Jcos@nexant.com</t>
  </si>
  <si>
    <t>OPFPEP Evaluation Report</t>
  </si>
  <si>
    <t>COPE invoices</t>
  </si>
  <si>
    <t>Report completed, savings validated</t>
  </si>
  <si>
    <t>PG&amp;E in its service area; Chiller retrofit and lighting retrofits</t>
  </si>
  <si>
    <t>PG&amp;E in its service area; contracts with firms to install energy efficiency equipment in homes of hard to reach customers</t>
  </si>
  <si>
    <t>PG&amp;E in its service area; 13 contracts with various vendors for energy efficient equipment installation</t>
  </si>
  <si>
    <t>PG&amp;E; energy efficient recommendations for improved building designs for new construction and existing buildings being renovated</t>
  </si>
  <si>
    <t>PG&amp;E; installation of energy efficient pumps and motors</t>
  </si>
  <si>
    <t>PG&amp;E; lighting and motor retrofits</t>
  </si>
  <si>
    <t>Lance Delaura</t>
  </si>
  <si>
    <t>(213) 244 - 3678</t>
  </si>
  <si>
    <t>ldelaura@semprautilities.com</t>
  </si>
  <si>
    <t>Frank Spasaro</t>
  </si>
  <si>
    <t>(213) 244 - 3648</t>
  </si>
  <si>
    <t>fspasaro@semprautilities.com</t>
  </si>
  <si>
    <t>Quantum Consulting; Derrick Rebello</t>
  </si>
  <si>
    <t>(510) 540 - 7200</t>
  </si>
  <si>
    <t>drebello@qcworld.com</t>
  </si>
  <si>
    <t>Yearend 2001 RCP-HER Final Report</t>
  </si>
  <si>
    <t>May 1 Filing</t>
  </si>
  <si>
    <t>ADM; Taghi Alereza</t>
  </si>
  <si>
    <t>(916) 363 - 8383</t>
  </si>
  <si>
    <t>Talereza@adm-energy.com</t>
  </si>
  <si>
    <t>Yearend 2001 TPI Final Report</t>
  </si>
  <si>
    <t>Contact Program Manager</t>
  </si>
  <si>
    <t xml:space="preserve">CEC program.   </t>
  </si>
  <si>
    <t>California Oil and Gas Pumping  (COPE)</t>
  </si>
  <si>
    <t>CPUC program.</t>
  </si>
  <si>
    <t>Document Reference #</t>
  </si>
  <si>
    <t>Document</t>
  </si>
  <si>
    <t>"The Summer 2001 Conservation Report."  State of California.</t>
  </si>
  <si>
    <t>ARCA Refrigerator Recycling</t>
  </si>
  <si>
    <t>Pool Pump Efficiency</t>
  </si>
  <si>
    <t>UC/CSU Campus Efficiency Projects</t>
  </si>
  <si>
    <t>CPUC Statewide Summer Initiative. Administered by each utility in its service territory.</t>
  </si>
  <si>
    <t>Res-Team: Hard to Reach</t>
  </si>
  <si>
    <t>Rep. Eng. Sav. From source #1 through Sep'01; Q4:01 data not available</t>
  </si>
  <si>
    <t>C&amp;I</t>
  </si>
  <si>
    <t>Rebates for high efficiency clothes washers and dishwashers</t>
  </si>
  <si>
    <t>LADWP spreadsheet and other documentation provided by Ed Petok</t>
  </si>
  <si>
    <t>"Phase 4 Market Effects Study of California Residential Lighting and Appliances Program."  Prepared for San Diego Gas &amp; Electric.  Prepared by Xenergy.  April 26, 2002.</t>
  </si>
  <si>
    <t>"California Customer Load Reductions during the Electricity Crisis: Did They Help to Keep the Lights On?"  Lawrence Berkeley National Laboratories.  Goldman, Eto, Barbose.  May 2002.</t>
  </si>
  <si>
    <t>SUBTOTAL</t>
  </si>
  <si>
    <t>RES</t>
  </si>
  <si>
    <t>NON RES</t>
  </si>
  <si>
    <t>New Const.</t>
  </si>
  <si>
    <t>All Sectors (not including Summer Initiative)</t>
  </si>
  <si>
    <t>Subtotal</t>
  </si>
  <si>
    <t>Gary Oto, SF PUC: (415) 554-3101;  also Bill Peden of SF PUC</t>
  </si>
  <si>
    <t>Source of funding was Hetch Hetchy Water and Power - set up as revolving fund.  25M budget in FY02-03.</t>
  </si>
  <si>
    <t>Funding for energy efficiency capital cost projects at city facilities and agencies.  About 3-4 facility retrofits in 2001 were implemented but not completed. Some funds set aside for review of design for new construction. SF PUC performed/commissioned audits.</t>
  </si>
  <si>
    <t>Funded through General Fund (GF).  Additional funding from PGC through PG&amp;E, ACWMA, and CIWMB.</t>
  </si>
  <si>
    <t>City of Berkeley - interviews with Alice LaPierre and Neal DeSnoo</t>
  </si>
  <si>
    <r>
      <t>OUT OF SCOPE…NOT IN 2001</t>
    </r>
    <r>
      <rPr>
        <sz val="10"/>
        <rFont val="Arial"/>
        <family val="0"/>
      </rPr>
      <t xml:space="preserve"> Covers implementation period of 1/1/02-5/31/03.  Two pilot projects in 2001.</t>
    </r>
  </si>
  <si>
    <t>Municipal efficiency retrofits (LED Traffic Signals)</t>
  </si>
  <si>
    <t>Non Res (Sm. B)</t>
  </si>
  <si>
    <t>Non Res (Muni)</t>
  </si>
  <si>
    <t>TOTALS</t>
  </si>
  <si>
    <t>Tree Shading (Campus)</t>
  </si>
  <si>
    <t>Janith Johnson</t>
  </si>
  <si>
    <t>909-357-6134</t>
  </si>
  <si>
    <t>Janith.Johnson@sce.com</t>
  </si>
  <si>
    <t>SCE; Janith Johnson</t>
  </si>
  <si>
    <t>Gregg Ander</t>
  </si>
  <si>
    <t>626-633-7160</t>
  </si>
  <si>
    <t>Gregg.Ander@sce.com</t>
  </si>
  <si>
    <t>SCE; Gregg Ander</t>
  </si>
  <si>
    <t>SCE; George Coronel</t>
  </si>
  <si>
    <t>program savings estimate based on M&amp;V study for each project</t>
  </si>
  <si>
    <t>Compare with process evals from previous years with the 2001 SPC program; "Improving the Standard Performance Contracting Program: An Examination of the Historical Evidence and Directions for the Future" (CALMAC.org)</t>
  </si>
  <si>
    <r>
      <t>2002 AEAP App</t>
    </r>
    <r>
      <rPr>
        <i/>
        <sz val="10"/>
        <rFont val="Arial"/>
        <family val="2"/>
      </rPr>
      <t xml:space="preserve"> </t>
    </r>
    <r>
      <rPr>
        <sz val="10"/>
        <rFont val="Arial"/>
        <family val="0"/>
      </rPr>
      <t>(Exhibit SCE-1), May 1, 2002</t>
    </r>
  </si>
  <si>
    <t>Interactive energy efficiency service that provides residential and small business customers with tools to manage their energy costs.  Includes on-line service that provides energy-saving tips and information about energy-efficient appliances and equipment.</t>
  </si>
  <si>
    <t>Res-Information</t>
  </si>
  <si>
    <t>Information - print and on-line</t>
  </si>
  <si>
    <t>SCE 2002 Energy Efficiency Annual Report, Summary Report and Technical Appendix.  May 2002.</t>
  </si>
  <si>
    <t>Xenergy, Linda Early (510) 891-0446; CSG, Sheree Sims (760)947-008</t>
  </si>
  <si>
    <t>Res EE Incentives - RCP</t>
  </si>
  <si>
    <t>Single Family Residential Contractor Program (RCP)</t>
  </si>
  <si>
    <t>Multifamily Residential Contractor Program (RCP)</t>
  </si>
  <si>
    <t>20,300 vouchers/applications in 2001 --&gt; avg. impact of 177 kWh/voucher-year</t>
  </si>
  <si>
    <t>203 multi-dwelling sites in program --&gt; avg. impact of 67MWh/MFsite-year…92% of reported savings attributable to lighting measures; most of remainder to water heater controller installations</t>
  </si>
  <si>
    <t>Home Energy Rebate Program (HER)</t>
  </si>
  <si>
    <t>Res EE Incentives - Prescriptive Rebates</t>
  </si>
  <si>
    <t>Rebates on wide range of end-use equipment and measures.  Supports nationwide DOE/EPA Energy Star Program</t>
  </si>
  <si>
    <r>
      <t xml:space="preserve">SDG&amp;E </t>
    </r>
    <r>
      <rPr>
        <sz val="10"/>
        <rFont val="Arial"/>
        <family val="2"/>
      </rPr>
      <t>- Whole House Fans</t>
    </r>
  </si>
  <si>
    <r>
      <t>SDG&amp;E</t>
    </r>
    <r>
      <rPr>
        <sz val="10"/>
        <rFont val="Arial"/>
        <family val="2"/>
      </rPr>
      <t xml:space="preserve"> - Halogen Torchiere Turn In Event</t>
    </r>
  </si>
  <si>
    <t>jmoore@ecosconsulting.com</t>
  </si>
  <si>
    <t>See Comments</t>
  </si>
  <si>
    <t>fwhite@sdenergy.org; Misha.sarkovich@smud.org; Wli@ladwp.com; Pstoner@lgc.gov</t>
  </si>
  <si>
    <t>(510)595-7674; (619)699-0727; (916)732-6484; (213)367-4988; (916)448-1198x309</t>
  </si>
  <si>
    <t>Third parties compete for incentives to implement innovative measures reduce peak demand.  Broad range of projects accepted.</t>
  </si>
  <si>
    <t>Assists agriculture and food processing industries in reducing peak demands. $40M for high-efficiency equipment; $15M for retrofit gas to alternative fuels; $10M for manure methane power grants; $5M for anaerobic digestion of biosolids and animal wastes</t>
  </si>
  <si>
    <t>Interview with Virginia Lew of CEC, 8/27/02</t>
  </si>
  <si>
    <t>Rep. Eng. Sav. From source #1 through Sep'01; Q4:01 data not available.  SBx15 funded program beyond SCE into other IOU territories</t>
  </si>
  <si>
    <t>Reported HER installations in 2001: 57,000 ES refrigerators; 7,700 whole house fans; 10,000 ES CACs</t>
  </si>
  <si>
    <t>ES Refrigerators, Whole House Fans, ES CACs, ES Room ACs, ES Central Heat Pumps, Evaporative Coolers, Wall Insulation, Attic Insulation, High Performance Windows, Low Flow Showerheads (2.0 gpm), Programmable Thermostat, Water Heater Pipe Insulation</t>
  </si>
  <si>
    <t>UC San Diego and Cal State San Marcos were the two approved campuses</t>
  </si>
  <si>
    <t>Evaluation Report</t>
  </si>
  <si>
    <t>Non Res (Gov't)</t>
  </si>
  <si>
    <t>In 2001 LED traffic signals were installed. Measures change each year (Phase 2 of 3-phase green conversion)</t>
  </si>
  <si>
    <t>PG&amp;E's overall M&amp;V contractor</t>
  </si>
  <si>
    <t>Smart Lights</t>
  </si>
  <si>
    <t>Community Energy Services Corporation</t>
  </si>
  <si>
    <t>ICF (Val Jenson)</t>
  </si>
  <si>
    <t>California Youth Energy Services</t>
  </si>
  <si>
    <t>Youth-based home weatherization</t>
  </si>
  <si>
    <t>Rising Sun Energy</t>
  </si>
  <si>
    <t>Industrial</t>
  </si>
  <si>
    <t>Cece Barros</t>
  </si>
  <si>
    <t>415-973-4757</t>
  </si>
  <si>
    <t>cabe@pge.com</t>
  </si>
  <si>
    <t>Done internally</t>
  </si>
  <si>
    <t>Mary Kay Gobris</t>
  </si>
  <si>
    <t>415-973-1319</t>
  </si>
  <si>
    <t>mkg3@pge.com</t>
  </si>
  <si>
    <t>various</t>
  </si>
  <si>
    <t>Y</t>
  </si>
  <si>
    <t>RNC _-- builder compliance, RNC Demand Analysis, RNC Interview Findings</t>
  </si>
  <si>
    <t>demand savings done by eng analyses</t>
  </si>
  <si>
    <t>Baseline study and process evaluation</t>
  </si>
  <si>
    <t>There were three evaluation reports prepared.  Energy savings  are not evaluated but are based on eng. Analyses.</t>
  </si>
  <si>
    <t>Grant Duhon</t>
  </si>
  <si>
    <t>415-972-5695</t>
  </si>
  <si>
    <t>gxd7@pge.com</t>
  </si>
  <si>
    <t>Kent Harris PG&amp;E</t>
  </si>
  <si>
    <t>415-973-6981</t>
  </si>
  <si>
    <t>ksh1@pge.com</t>
  </si>
  <si>
    <t xml:space="preserve">Cathy Chappell from Heschong Mahone Group </t>
  </si>
  <si>
    <t>916-962-7001</t>
  </si>
  <si>
    <t>chappell@h-m-g.com</t>
  </si>
  <si>
    <t>n</t>
  </si>
  <si>
    <t>Two ongoing studies -- Report for 2001 will be available 4/1/03</t>
  </si>
  <si>
    <t>eng analyses</t>
  </si>
  <si>
    <t>market characterization</t>
  </si>
  <si>
    <t>This is a statewide evaluation that is managed by SCE.</t>
  </si>
  <si>
    <t>N</t>
  </si>
  <si>
    <t>Utility Third Party Initiative (TPI)  funded through PGC</t>
  </si>
  <si>
    <t>Contractors reported savings for PG&amp;E territory; not verified by PG&amp;E.  MW savings not specified as "peak"</t>
  </si>
  <si>
    <t>Res EMS</t>
  </si>
  <si>
    <t>Small business energy efficiency audits at no charge.  CPUC gave the funding; City of SF is administrator and marketer; City of SF manages contractor…manage marketing</t>
  </si>
  <si>
    <t>George Cornell</t>
  </si>
  <si>
    <t xml:space="preserve">Also study done SCE in 1996 by Davis Energy…may contain benchmarks (more feasibility) Jim Hodge or Steve Culbertson of SCE </t>
  </si>
  <si>
    <t xml:space="preserve">seeks to transform the market for premium efficiency three phase electric motors; seeks to sustain long-term market effects by both adapting to, and changing certain industry practices and attitudes pertaining to the distributors’ method of motor acquisition, stocking, ready availability and final sale of premium efficiency electric motors through traditional motor distribution channels; uses an upstream financial incentive strategy for non-OEM motor distribution channel members to encourage stocking of qualifying motors.  </t>
  </si>
  <si>
    <t>New Construction Codes &amp; Standards</t>
  </si>
  <si>
    <t>Local Government Initiative</t>
  </si>
  <si>
    <t>Local governments</t>
  </si>
  <si>
    <t>SDG&amp;E was contract manager of this program.  As of 12/31/01, ECOS completed 1,115 torchiere replacements in PG&amp;E area</t>
  </si>
  <si>
    <t>SCE was contract manager of this program. Total of 23,541 units picked up in PG&amp;E territory in 2001.</t>
  </si>
  <si>
    <t>City of San Francisco - interviews with Cal Broomhead of San Francisco Office of Energy and Environment and Bill Peden of San Francisco PUC</t>
  </si>
  <si>
    <r>
      <t>PG&amp;E:</t>
    </r>
    <r>
      <rPr>
        <sz val="10"/>
        <rFont val="Arial"/>
        <family val="2"/>
      </rPr>
      <t xml:space="preserve"> Presidio Trust: Energy Efficiency Measures</t>
    </r>
  </si>
  <si>
    <r>
      <t>PG&amp;E</t>
    </r>
    <r>
      <rPr>
        <sz val="10"/>
        <rFont val="Arial"/>
        <family val="2"/>
      </rPr>
      <t>: Humboldt Creamery: Energy Efficiency Measures</t>
    </r>
  </si>
  <si>
    <r>
      <t>PG&amp;E</t>
    </r>
    <r>
      <rPr>
        <sz val="10"/>
        <rFont val="Arial"/>
        <family val="2"/>
      </rPr>
      <t>: City of Oakland: EE Design Assistance</t>
    </r>
  </si>
  <si>
    <r>
      <t>PG&amp;E:</t>
    </r>
    <r>
      <rPr>
        <sz val="10"/>
        <rFont val="Arial"/>
        <family val="2"/>
      </rPr>
      <t xml:space="preserve"> City of Oakland: Museum Chiller Replacement</t>
    </r>
  </si>
  <si>
    <t>PG&amp;E, SCE, and SCG operate Energy Centers, which use training, outreach, education, and tool development to support delivery of statewide programs. Energy Centers address peak demand reduction and promote energy savings directly.  CTAC = Commercial Technology Application Center; AgTAC = Agricultural Technology Application Center</t>
  </si>
  <si>
    <t>NR Express Efficiency (Large and Small/Med)</t>
  </si>
  <si>
    <t>Non Res - TPIs</t>
  </si>
  <si>
    <t xml:space="preserve">Seeks to transform the market for nonresidential central air conditioners (a/c) and central heat pump units through an upstream financial incentive strategy for HVAC installation contractors. At the point of the equipment replacement market event, the program focuses on creating a "market pull" condition to increase penetration rates of a/c units at least one EER above Title 24 building codes, installed at small and medium nonresidential customer locations. </t>
  </si>
  <si>
    <t>Several projects targeted at the Non Res sector administered and/or implemented by third parties (apart from Summer Initiatives).  Projects included: Vending Machine Retrofits,  Duct Testing, "Green Schools" high school education program, "LivingWise" elementary school education program, CFL distribution, CFL torchiere replacement, etc.</t>
  </si>
  <si>
    <t>ICF Associates</t>
  </si>
  <si>
    <t>A SF ordinance (code) for resource-efficient municipal buildings</t>
  </si>
  <si>
    <t>Department of Environment</t>
  </si>
  <si>
    <t>Provides incentives to production home builders for improvements in Title 24 cooling budgets</t>
  </si>
  <si>
    <r>
      <t>Shade Tree Program</t>
    </r>
    <r>
      <rPr>
        <sz val="10"/>
        <rFont val="Arial"/>
        <family val="0"/>
      </rPr>
      <t> </t>
    </r>
  </si>
  <si>
    <t>Provides free trees for planting in locations that effectively shade dwellings</t>
  </si>
  <si>
    <t>QA &amp; Savings Estimate; Warren Lindeleaf</t>
  </si>
  <si>
    <t>"Green Buildings"</t>
  </si>
  <si>
    <t>MWh</t>
  </si>
  <si>
    <t>(1) AC Tune Up: cleaning evap. and cond. coils; inspecting suction line insulation, airflow and ductwork, supply fans, motors and belts; measuring and recording performance of each unit before and after tune-up; (2) $75/unit for all units &lt; 24 thBtu/h w/ SEER 12.0 or greater; $150/Ton for HP's 24-65 thBtu/h w/ SEER &gt;= 12.0 and HP's 65-120 thBtu/h w/ EER &gt;= 10.1; $115/Ton for oth. pkg. or split AC 24-65 thBtu/h w/ SEER &gt;= 12.0 and 65-120 thBtu/h w/EER &gt;= 10.3</t>
  </si>
  <si>
    <t>Demand reduction reported as "peak"; sum of the peak reductions tabulated for each month</t>
  </si>
  <si>
    <t>Chiller Efficiency Program</t>
  </si>
  <si>
    <t>Chillers installed by 6/30/01 eligible for up to $400/kW reduced beyond Title 24 standards based on age of existing chiller equipment and efficiency of new equipment;</t>
  </si>
  <si>
    <t>Cash incentives and consulting for owners and operators of buildings and manufacturing plants to purchase water-cooled or air-cooled chlliers</t>
  </si>
  <si>
    <t>Cool Roofs</t>
  </si>
  <si>
    <t>Tory Webber(?)</t>
  </si>
  <si>
    <t>(626) 302-8186</t>
  </si>
  <si>
    <t>Print and electronic information materials through Business Customer Center, field representatives, presentations and trade shows, toll-free phone support - all targeted at owners and operators of large customers, including community colleges, as well as trade allies.</t>
  </si>
  <si>
    <t>7,000 people attended educational programs</t>
  </si>
  <si>
    <t xml:space="preserve">Technical activities to link the design (e.g. architect, engineer, etc.) and EESP communities to support EE technologies.  </t>
  </si>
  <si>
    <t>Chiller Analysis Program (CAP) provided participating customers with detailed chiller/cooling tower loop analysis information to help optimize system dor peak loads: ten facilities reviewed using CAP</t>
  </si>
  <si>
    <t>Solicited proposals from third party implementers on EE retrofit projects for small, hard to reach commercial establishments.  Direct mail and brochure campaign, conducted seminars and presentations to businesses and community based organizations.</t>
  </si>
  <si>
    <t xml:space="preserve">Cost per kW Saved  ($/kW)               </t>
  </si>
  <si>
    <t>Energy audits offered in three forms: In-Home, Mail-In, and On-Line.  Direct CFL giveaway for participation</t>
  </si>
  <si>
    <t>(b) - CFL giveaway</t>
  </si>
  <si>
    <t>3,348 energy-efficient CFL's distributed through In-Home and Mail-In Audits</t>
  </si>
  <si>
    <t>Dollars Spent ($ thousand)</t>
  </si>
  <si>
    <t>Downstream Appliance Incentives</t>
  </si>
  <si>
    <t>Customer rebates to promote Energy-Star and DOE compliant appliances; over 80 participating retail outlets</t>
  </si>
  <si>
    <t>Local Government Initiatives</t>
  </si>
  <si>
    <t>David Rubens</t>
  </si>
  <si>
    <t>916-651-9857</t>
  </si>
  <si>
    <t>drubens@energy.state.ca.us</t>
  </si>
  <si>
    <t>Solicitation handled directly by CEC program manager</t>
  </si>
  <si>
    <t>Nexant</t>
  </si>
  <si>
    <t>No</t>
  </si>
  <si>
    <t>Ray Darby or Melinda Rogers</t>
  </si>
  <si>
    <t>916-654-5074 or 916-653-7963</t>
  </si>
  <si>
    <t>rdarby@energy.state.ca.us or mrogers@energy.state.ca.us</t>
  </si>
  <si>
    <t>Monica Rudman</t>
  </si>
  <si>
    <t>Nexant. Ken Barnes</t>
  </si>
  <si>
    <t>Yes</t>
  </si>
  <si>
    <t>Nexant, Quarterly Report to the Legislature</t>
  </si>
  <si>
    <t>Res - Heating and Cooling Systems (RHCS)</t>
  </si>
  <si>
    <t>RHCS - Targeted Information Delivery</t>
  </si>
  <si>
    <t>RHCS - Technical Support to Trade Allies</t>
  </si>
  <si>
    <t>RHCS - Emerging Technologies</t>
  </si>
  <si>
    <t>RHCS - Linked HVAC Financial Incentives</t>
  </si>
  <si>
    <t>New savings est. (e.g., billing data, eng. analysis, metering)</t>
  </si>
  <si>
    <t>Comments</t>
  </si>
  <si>
    <t>Cheryl Wynn</t>
  </si>
  <si>
    <t>Cheryl.wynn@sce.com</t>
  </si>
  <si>
    <t>SCE</t>
  </si>
  <si>
    <t>626-302-8998</t>
  </si>
  <si>
    <t>Rebate</t>
  </si>
  <si>
    <t>Refrigerator/Freezer Recycling</t>
  </si>
  <si>
    <t>Fran Curl</t>
  </si>
  <si>
    <t>626-302-8248</t>
  </si>
  <si>
    <t>fran.curl@sce.com</t>
  </si>
  <si>
    <t>ARCA , Bruce Wall</t>
  </si>
  <si>
    <t>Funding Source: $100k from General Fund, plus $72k grant from California Integrated Waste Mgt. Board.   (remainder admin&amp;staff) cost)http://www.sfgov.org/sfenvironment/aboutus/policy/legislation/efficient.htm; In 2001 GB only retrofitted their own office; measures included occupancy sensors, dimming controls, replacing ballasts; report to SF Board of Supervisors will be available by mid August.  No completed constructions yet.</t>
  </si>
  <si>
    <t>EE fact sheets; EER vs. SEET technical comparison sheets; EE Speaker's Bureau; promotion of heating conservation on website</t>
  </si>
  <si>
    <t>Promoted installation of Energy Star labeled lighting to customers and multifamily property operators, and promoted stocking of such lighting to retailers.  Also focused on improving market recognition of benefits of EE lighting.</t>
  </si>
  <si>
    <t>Signed up 39 retailers in 393 locations to promote Energy Star CFLs and provide instant discounts at retailers' registers</t>
  </si>
  <si>
    <t>Conservation and EE messages in five monthly "Spotlight" newsletters and four bill inserts, reaching 4.5 million residential customers each.</t>
  </si>
  <si>
    <r>
      <t>3% loans to public agencies and non-profits for projects that reduce peak period demand</t>
    </r>
    <r>
      <rPr>
        <sz val="10"/>
        <rFont val="Arial"/>
        <family val="0"/>
      </rPr>
      <t> </t>
    </r>
  </si>
  <si>
    <t>na</t>
  </si>
  <si>
    <t>na = "Not Applicable"</t>
  </si>
  <si>
    <t>NA = "Not Available"</t>
  </si>
  <si>
    <t>Loans granted to 84 sites in 2001 as of 11/1/01.  $48M of $50M budget was loaned out, but only $14.4M went to projects that were completed in 2001 and for which savings were reported and verified.</t>
  </si>
  <si>
    <t>Grants provided to replace standard traffic signal lights with LEDs for demand savings.</t>
  </si>
  <si>
    <t>"AB 970, AB 29X, and SB 5X Peak Load Reduction Programs: Annual Report and Appendices".  Prepared by Nexant for CEC.  December 10, 2001.</t>
  </si>
  <si>
    <t>Efficiency and demand-reduction measures installed at over 253 sites (Source 11).  Budget by source: $48M SB 5X + $6M AB 970 = $54M budget.  Spending by source: $10.8M SB 5X + $3.2M AB 970; Demand Savings: 13.5 MW "reported" from SB 5X projects + 23.6 MW "verified" from AB 970 projects.</t>
  </si>
  <si>
    <t>Administered by CEC and LADWP; incentive payments to building owners or property managers: $0.15/sqft for cool rooftop ducts; $0.20/sqft for refigerated bldgs; $0.15/sqft for non-res and MF-res bldgs; $0.05/sqft for roof insulation (if pre-existing &lt;= R-5 and if R-2 or greater insulation is added in conjunction with qualifying cool roof)</t>
  </si>
  <si>
    <t>Cool rooftop ducts; non-metallic roofing materials with at least 65% reflectivity from US EPA Energy Star Roofing Products List; R-2 of greater roof insulation</t>
  </si>
  <si>
    <t>Reflective Film Program</t>
  </si>
  <si>
    <t>Reflective Film with max shading coefficient of 0.55 and min LEC of 0.50</t>
  </si>
  <si>
    <t>Cash incentives to window-firm installers for the installation of qualifying reflective film to interior surface of non-North facing, non-shaded, exterior single pane windows enclosing electrically air-conditioned spaces during July - Sep 2001</t>
  </si>
  <si>
    <t>Ed Petok</t>
  </si>
  <si>
    <t>Leilani Johnson</t>
  </si>
  <si>
    <t>ljohns@ladwp.com</t>
  </si>
  <si>
    <t>(213) 367-4939</t>
  </si>
  <si>
    <t>Large NR</t>
  </si>
  <si>
    <t>Performance based program that offers incentives (posted price) to customers or Energy Efficiency Service Providers (EESPs) for installation of energy efficient equipment at customer facilities.</t>
  </si>
  <si>
    <r>
      <t>Small /Medium NR Standard Performance Contract</t>
    </r>
    <r>
      <rPr>
        <sz val="10"/>
        <rFont val="Arial"/>
        <family val="0"/>
      </rPr>
      <t> </t>
    </r>
  </si>
  <si>
    <t>Sm/Med NR</t>
  </si>
  <si>
    <t xml:space="preserve">provides information on EE programs, options and services </t>
  </si>
  <si>
    <t>COPE - PG&amp;E</t>
  </si>
  <si>
    <t xml:space="preserve">Total Cost </t>
  </si>
  <si>
    <t>In store kiosk program (at Dixieline and Home Depot) to provide information on various energy saving appliances.</t>
  </si>
  <si>
    <t xml:space="preserve">Energy awareness program for K-6 students promoting benefits of energy conservation. </t>
  </si>
  <si>
    <t>Trained representatives who answer customer calls on energy usage and efficiency.</t>
  </si>
  <si>
    <t>Replacement of halogen torchiere fixtures and/or incandescent bulbs with qualified, energy efficient lighting.  Free promotion targeted at hard to reach lower income and elderly customers.</t>
  </si>
  <si>
    <t>Leverages relationships with appliance manufacturers and retailers to promote awareness and interest in Energy Star qualified appliances</t>
  </si>
  <si>
    <t>Commercial</t>
  </si>
  <si>
    <t>Turn in event for halogen torchieres at nursing homes.</t>
  </si>
  <si>
    <t>Six peak load reduction projects at commercial locations</t>
  </si>
  <si>
    <t>Revised Savings Range</t>
  </si>
  <si>
    <t>MW</t>
  </si>
  <si>
    <t>Mtherm</t>
  </si>
  <si>
    <t>($/kWh)</t>
  </si>
  <si>
    <t>Contact Information</t>
  </si>
  <si>
    <t>Program Manager</t>
  </si>
  <si>
    <t>Implementer (Contractor)</t>
  </si>
  <si>
    <t>Evaluator</t>
  </si>
  <si>
    <t>Berkeley Conservation and Energy</t>
  </si>
  <si>
    <t>Retailing Energy Efficiency Products (Farmers Markets, etc.)</t>
  </si>
  <si>
    <t>Alice La Pierre</t>
  </si>
  <si>
    <t>Ecology Center</t>
  </si>
  <si>
    <t>"Beat the Heat" Halogen Torchiere replacement with CFL torchieres</t>
  </si>
  <si>
    <t>CPUC Statewide Summer Initiative.  TPI - administered by Ecos Consulting across IOUs.  SDG&amp;E was the contract manager</t>
  </si>
  <si>
    <t>CPUC Statewide Summer Initiative. TPI - administered by ARCA across IOUs.  SCE was contract manager. Cash incentive for refrigerator recycling (must be 10 cu. ft. or larger and in working condition); ARCA picks up old appliance at no charge to customer and recycles in environmentally safe manner;</t>
  </si>
  <si>
    <t>CPUC Statewide Summer Initiative.  Administered by each IOU in its service territory.  Financial incentives to residential pool owners for the purchase and installation of high efficiency pool pumps and the re-set of pool pump timers to run during summer off-peak hours. Program Components: (a) high efficiency pool pumps; (b) time-of-day controls; (c) information to build awareness of pool energy consumption and shifting to off-peak hours</t>
  </si>
  <si>
    <t>CPUC SUMMER INITIATIVE</t>
  </si>
  <si>
    <t>STATEWIDE SUMMER INITIATIVE</t>
  </si>
  <si>
    <t>Incentives for high-efficiency pump and motor retrofits for large oil and gas producers and pipelines.  SCE and PG&amp;E territories.</t>
  </si>
  <si>
    <t>#7</t>
  </si>
  <si>
    <t>Educates and provides standard direct incentives to NR customers for the elimination of specific highly inefficient electrical products from use in their businesses. Uses a combination of customer representatives, vendors, and contractors to deliver the program to customers; includes rebates on LED traffic signals; small business segments and some climate zones were targeted with specific measures (e.g., window film).</t>
  </si>
  <si>
    <t>(a) Energy-Star Clothes Washer; (a) Energy-Star Dishwasher; (a) Energy-Star room A/C; (a) Energy-Star Refrigerator; (a) DOE 2001 Refrigerator</t>
  </si>
  <si>
    <t>Lee Trotman</t>
  </si>
  <si>
    <t>626-302-8885</t>
  </si>
  <si>
    <t>Lee.Trotman@sce.com</t>
  </si>
  <si>
    <t>Residential </t>
  </si>
  <si>
    <t>?</t>
  </si>
  <si>
    <t xml:space="preserve">ARCA, Bruce Wall - VP
</t>
  </si>
  <si>
    <t>Steve Culbertson</t>
  </si>
  <si>
    <t>626-302-1629</t>
  </si>
  <si>
    <t>steve.culbertson@sce.com</t>
  </si>
  <si>
    <t>CFLs were dominant installed measure - 81,000 installed.</t>
  </si>
  <si>
    <t>Water/Wastewater Treatment Facilities Peak Load Reduction Program</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</si>
</sst>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00"/>
    <numFmt numFmtId="169" formatCode="#,##0.0"/>
    <numFmt numFmtId="170" formatCode="_(* #,##0.0_);_(* \(#,##0.0\);_(* &quot;-&quot;??_);_(@_)"/>
    <numFmt numFmtId="171" formatCode="_(* #,##0_);_(* \(#,##0\);_(* &quot;-&quot;??_);_(@_)"/>
    <numFmt numFmtId="172" formatCode="0.0"/>
    <numFmt numFmtId="173" formatCode="&quot;$&quot;#,##0.0_);[Red]\(&quot;$&quot;#,##0.0\)"/>
    <numFmt numFmtId="174" formatCode="&quot;$&quot;#,##0.00"/>
    <numFmt numFmtId="175" formatCode="_(* #,##0.000_);_(* \(#,##0.000\);_(* &quot;-&quot;??_);_(@_)"/>
    <numFmt numFmtId="176" formatCode="_(* #,##0.0_);_(* \(#,##0.0\);_(* &quot;-&quot;?_);_(@_)"/>
    <numFmt numFmtId="177" formatCode="0.0000"/>
    <numFmt numFmtId="178" formatCode="0.000"/>
    <numFmt numFmtId="179" formatCode="&quot;$&quot;#,##0"/>
    <numFmt numFmtId="180" formatCode="&quot;$&quot;#,##0.0"/>
    <numFmt numFmtId="181" formatCode="_(&quot;$&quot;* #,##0.0_);_(&quot;$&quot;* \(#,##0.0\);_(&quot;$&quot;* &quot;-&quot;??_);_(@_)"/>
    <numFmt numFmtId="182" formatCode="_(&quot;$&quot;* #,##0_);_(&quot;$&quot;* \(#,##0\);_(&quot;$&quot;* &quot;-&quot;??_);_(@_)"/>
    <numFmt numFmtId="183" formatCode="0.0%"/>
    <numFmt numFmtId="184" formatCode="_(* #,##0.000_);_(* \(#,##0.000\);_(* &quot;-&quot;???_);_(@_)"/>
    <numFmt numFmtId="185" formatCode="&quot;$&quot;#,##0.000"/>
  </numFmts>
  <fonts count="16">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0"/>
      <color indexed="10"/>
      <name val="Arial"/>
      <family val="2"/>
    </font>
    <font>
      <b/>
      <sz val="8"/>
      <name val="Arial"/>
      <family val="2"/>
    </font>
    <font>
      <b/>
      <sz val="10"/>
      <color indexed="10"/>
      <name val="Arial"/>
      <family val="2"/>
    </font>
    <font>
      <sz val="10"/>
      <color indexed="12"/>
      <name val="Arial"/>
      <family val="2"/>
    </font>
    <font>
      <i/>
      <sz val="10"/>
      <name val="Arial"/>
      <family val="0"/>
    </font>
    <font>
      <sz val="8"/>
      <name val="Tahoma"/>
      <family val="0"/>
    </font>
    <font>
      <b/>
      <sz val="8"/>
      <name val="Tahoma"/>
      <family val="0"/>
    </font>
    <font>
      <b/>
      <u val="single"/>
      <sz val="10"/>
      <color indexed="12"/>
      <name val="Arial"/>
      <family val="2"/>
    </font>
    <font>
      <sz val="10"/>
      <name val="Times"/>
      <family val="0"/>
    </font>
    <font>
      <b/>
      <i/>
      <sz val="10"/>
      <name val="Arial"/>
      <family val="2"/>
    </font>
    <font>
      <sz val="9"/>
      <name val="Arial"/>
      <family val="2"/>
    </font>
  </fonts>
  <fills count="7">
    <fill>
      <patternFill/>
    </fill>
    <fill>
      <patternFill patternType="gray125"/>
    </fill>
    <fill>
      <patternFill patternType="solid">
        <fgColor indexed="43"/>
        <bgColor indexed="64"/>
      </patternFill>
    </fill>
    <fill>
      <patternFill patternType="solid">
        <fgColor indexed="40"/>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117">
    <border>
      <left/>
      <right/>
      <top/>
      <bottom/>
      <diagonal/>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color indexed="63"/>
      </top>
      <bottom style="thin"/>
    </border>
    <border>
      <left style="medium"/>
      <right style="medium"/>
      <top style="medium"/>
      <bottom style="medium">
        <color indexed="8"/>
      </bottom>
    </border>
    <border>
      <left style="medium">
        <color indexed="8"/>
      </left>
      <right style="thin">
        <color indexed="8"/>
      </right>
      <top style="medium"/>
      <bottom style="medium">
        <color indexed="8"/>
      </bottom>
    </border>
    <border>
      <left style="thin">
        <color indexed="8"/>
      </left>
      <right style="thin">
        <color indexed="8"/>
      </right>
      <top style="medium"/>
      <bottom style="medium">
        <color indexed="8"/>
      </bottom>
    </border>
    <border>
      <left>
        <color indexed="63"/>
      </left>
      <right>
        <color indexed="63"/>
      </right>
      <top style="medium"/>
      <bottom style="medium">
        <color indexed="8"/>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color indexed="8"/>
      </left>
      <right style="medium">
        <color indexed="8"/>
      </right>
      <top style="medium"/>
      <bottom style="medium"/>
    </border>
    <border>
      <left>
        <color indexed="63"/>
      </left>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thin">
        <color indexed="8"/>
      </right>
      <top style="medium"/>
      <bottom>
        <color indexed="63"/>
      </bottom>
    </border>
    <border>
      <left style="thin">
        <color indexed="8"/>
      </left>
      <right style="thin">
        <color indexed="8"/>
      </right>
      <top style="medium"/>
      <bottom>
        <color indexed="63"/>
      </bottom>
    </border>
    <border>
      <left>
        <color indexed="63"/>
      </left>
      <right>
        <color indexed="63"/>
      </right>
      <top style="medium"/>
      <bottom>
        <color indexed="63"/>
      </bottom>
    </border>
    <border>
      <left style="medium">
        <color indexed="8"/>
      </left>
      <right style="medium">
        <color indexed="8"/>
      </right>
      <top>
        <color indexed="63"/>
      </top>
      <bottom>
        <color indexed="63"/>
      </bottom>
    </border>
    <border>
      <left style="thin">
        <color indexed="8"/>
      </left>
      <right style="thin">
        <color indexed="8"/>
      </right>
      <top style="medium">
        <color indexed="8"/>
      </top>
      <bottom style="thin">
        <color indexed="8"/>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style="medium">
        <color indexed="8"/>
      </right>
      <top style="medium">
        <color indexed="8"/>
      </top>
      <bottom style="medium">
        <color indexed="8"/>
      </bottom>
    </border>
    <border>
      <left style="medium"/>
      <right style="thin"/>
      <top style="medium"/>
      <bottom style="medium">
        <color indexed="8"/>
      </bottom>
    </border>
    <border>
      <left style="thin"/>
      <right style="thin"/>
      <top style="medium"/>
      <bottom style="medium">
        <color indexed="8"/>
      </bottom>
    </border>
    <border>
      <left style="thin"/>
      <right style="medium"/>
      <top style="medium"/>
      <bottom style="medium">
        <color indexed="8"/>
      </bottom>
    </border>
    <border>
      <left>
        <color indexed="63"/>
      </left>
      <right style="thin"/>
      <top style="medium"/>
      <bottom style="medium">
        <color indexed="8"/>
      </bottom>
    </border>
    <border>
      <left>
        <color indexed="63"/>
      </left>
      <right style="medium"/>
      <top>
        <color indexed="63"/>
      </top>
      <bottom style="medium">
        <color indexed="8"/>
      </bottom>
    </border>
    <border>
      <left>
        <color indexed="63"/>
      </left>
      <right style="medium"/>
      <top style="medium"/>
      <bottom style="medium">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color indexed="63"/>
      </left>
      <right style="medium">
        <color indexed="8"/>
      </right>
      <top style="thin">
        <color indexed="8"/>
      </top>
      <bottom style="mediu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style="medium">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bottom style="thin">
        <color indexed="8"/>
      </bottom>
    </border>
    <border>
      <left style="thin"/>
      <right style="thin"/>
      <top style="thin"/>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style="thin">
        <color indexed="8"/>
      </top>
      <bottom style="medium">
        <color indexed="8"/>
      </bottom>
    </border>
    <border>
      <left style="thin"/>
      <right style="thin"/>
      <top style="medium">
        <color indexed="8"/>
      </top>
      <bottom style="thin"/>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medium">
        <color indexed="8"/>
      </top>
      <bottom style="thin"/>
    </border>
    <border>
      <left>
        <color indexed="63"/>
      </left>
      <right style="thin"/>
      <top style="medium"/>
      <bottom style="thin"/>
    </border>
    <border>
      <left>
        <color indexed="63"/>
      </left>
      <right>
        <color indexed="63"/>
      </right>
      <top style="thin">
        <color indexed="8"/>
      </top>
      <bottom style="thin"/>
    </border>
    <border>
      <left>
        <color indexed="63"/>
      </left>
      <right style="thin"/>
      <top>
        <color indexed="63"/>
      </top>
      <bottom style="thin"/>
    </border>
    <border>
      <left style="thin">
        <color indexed="8"/>
      </left>
      <right style="thin">
        <color indexed="8"/>
      </right>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style="thin"/>
    </border>
    <border>
      <left>
        <color indexed="63"/>
      </left>
      <right style="thin"/>
      <top>
        <color indexed="63"/>
      </top>
      <bottom>
        <color indexed="63"/>
      </bottom>
    </border>
    <border>
      <left style="medium"/>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color indexed="8"/>
      </left>
      <right>
        <color indexed="63"/>
      </right>
      <top>
        <color indexed="63"/>
      </top>
      <bottom style="thin"/>
    </border>
    <border>
      <left style="thin"/>
      <right style="thin"/>
      <top style="medium"/>
      <bottom style="thin"/>
    </border>
    <border>
      <left>
        <color indexed="63"/>
      </left>
      <right style="thin">
        <color indexed="8"/>
      </right>
      <top style="thin">
        <color indexed="8"/>
      </top>
      <bottom style="medium"/>
    </border>
    <border>
      <left>
        <color indexed="63"/>
      </left>
      <right>
        <color indexed="63"/>
      </right>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color indexed="8"/>
      </top>
      <bottom style="medium">
        <color indexed="8"/>
      </bottom>
    </border>
    <border>
      <left style="medium">
        <color indexed="8"/>
      </left>
      <right>
        <color indexed="63"/>
      </right>
      <top style="thin">
        <color indexed="8"/>
      </top>
      <bottom style="medium">
        <color indexed="8"/>
      </bottom>
    </border>
    <border>
      <left style="thin">
        <color indexed="8"/>
      </left>
      <right style="medium"/>
      <top style="thin">
        <color indexed="8"/>
      </top>
      <bottom style="medium">
        <color indexed="8"/>
      </bottom>
    </border>
    <border>
      <left>
        <color indexed="63"/>
      </left>
      <right style="thin">
        <color indexed="8"/>
      </right>
      <top style="thin">
        <color indexed="8"/>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thin"/>
      <bottom style="medium"/>
    </border>
    <border>
      <left>
        <color indexed="63"/>
      </left>
      <right style="medium"/>
      <top style="medium"/>
      <bottom style="thin"/>
    </border>
    <border>
      <left>
        <color indexed="63"/>
      </left>
      <right style="medium"/>
      <top style="thin"/>
      <bottom style="medium"/>
    </border>
    <border>
      <left>
        <color indexed="63"/>
      </left>
      <right style="medium"/>
      <top style="thin"/>
      <bottom style="thin"/>
    </border>
    <border>
      <left>
        <color indexed="63"/>
      </left>
      <right style="medium"/>
      <top>
        <color indexed="63"/>
      </top>
      <bottom style="thin"/>
    </border>
    <border>
      <left style="medium"/>
      <right style="medium"/>
      <top>
        <color indexed="63"/>
      </top>
      <bottom style="thin"/>
    </border>
    <border>
      <left style="thin"/>
      <right style="thin"/>
      <top style="medium">
        <color indexed="8"/>
      </top>
      <bottom>
        <color indexed="63"/>
      </bottom>
    </border>
    <border>
      <left style="medium">
        <color indexed="8"/>
      </left>
      <right style="medium">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85">
    <xf numFmtId="0" fontId="0" fillId="0" borderId="0" xfId="0" applyAlignment="1">
      <alignment/>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2" fillId="0" borderId="1" xfId="20" applyFill="1" applyBorder="1" applyAlignment="1">
      <alignment vertical="center" wrapText="1"/>
    </xf>
    <xf numFmtId="0" fontId="0" fillId="0" borderId="2" xfId="0" applyFill="1" applyBorder="1" applyAlignment="1">
      <alignment vertical="center" wrapText="1"/>
    </xf>
    <xf numFmtId="0" fontId="2" fillId="0" borderId="2" xfId="20"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1" fillId="2" borderId="3" xfId="0" applyFont="1" applyFill="1" applyBorder="1" applyAlignment="1">
      <alignment horizontal="center" vertical="center" wrapText="1"/>
    </xf>
    <xf numFmtId="0" fontId="0" fillId="2" borderId="4" xfId="0" applyFill="1" applyBorder="1" applyAlignment="1">
      <alignment vertical="center" wrapText="1"/>
    </xf>
    <xf numFmtId="0" fontId="1" fillId="2" borderId="5" xfId="0" applyFont="1" applyFill="1" applyBorder="1" applyAlignment="1">
      <alignment horizontal="center" vertical="center" wrapText="1"/>
    </xf>
    <xf numFmtId="0" fontId="6" fillId="2" borderId="6" xfId="0" applyFont="1" applyFill="1" applyBorder="1" applyAlignment="1">
      <alignment horizontal="center" vertical="top" textRotation="255" wrapText="1"/>
    </xf>
    <xf numFmtId="0" fontId="6" fillId="2" borderId="7" xfId="0" applyFont="1" applyFill="1" applyBorder="1" applyAlignment="1">
      <alignment horizontal="center" vertical="top" textRotation="255" wrapText="1"/>
    </xf>
    <xf numFmtId="0" fontId="6" fillId="2" borderId="8" xfId="0" applyFont="1" applyFill="1" applyBorder="1" applyAlignment="1">
      <alignment horizontal="center" vertical="top" textRotation="255" wrapText="1"/>
    </xf>
    <xf numFmtId="0" fontId="0" fillId="0" borderId="0" xfId="0" applyFont="1" applyFill="1" applyBorder="1" applyAlignment="1">
      <alignment vertical="center" wrapText="1"/>
    </xf>
    <xf numFmtId="0" fontId="2" fillId="0" borderId="0" xfId="20" applyFill="1" applyBorder="1" applyAlignment="1">
      <alignment vertical="center" wrapText="1"/>
    </xf>
    <xf numFmtId="0" fontId="0" fillId="0" borderId="9" xfId="0" applyFill="1" applyBorder="1" applyAlignment="1">
      <alignment vertical="center" wrapText="1"/>
    </xf>
    <xf numFmtId="49" fontId="0" fillId="0" borderId="1" xfId="0" applyNumberFormat="1" applyFill="1" applyBorder="1" applyAlignment="1">
      <alignment vertical="center" wrapText="1"/>
    </xf>
    <xf numFmtId="0" fontId="0" fillId="0" borderId="10" xfId="0" applyFill="1" applyBorder="1" applyAlignment="1">
      <alignment vertical="center" wrapText="1"/>
    </xf>
    <xf numFmtId="0" fontId="2" fillId="0" borderId="1" xfId="2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2" fillId="0" borderId="2" xfId="2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20" applyFill="1" applyBorder="1" applyAlignment="1">
      <alignment horizontal="center" vertical="center" wrapText="1"/>
    </xf>
    <xf numFmtId="0" fontId="9" fillId="0" borderId="1" xfId="0" applyFont="1" applyFill="1" applyBorder="1" applyAlignment="1">
      <alignment vertical="center" wrapText="1"/>
    </xf>
    <xf numFmtId="0" fontId="0" fillId="0" borderId="0" xfId="0" applyFill="1" applyAlignment="1">
      <alignment vertical="center"/>
    </xf>
    <xf numFmtId="0" fontId="0" fillId="0" borderId="1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 fillId="0" borderId="9" xfId="20" applyFill="1" applyBorder="1" applyAlignment="1">
      <alignment vertical="center" wrapText="1"/>
    </xf>
    <xf numFmtId="0" fontId="1" fillId="2" borderId="16" xfId="0" applyFont="1" applyFill="1" applyBorder="1" applyAlignment="1">
      <alignment horizontal="centerContinuous" vertical="center" wrapText="1"/>
    </xf>
    <xf numFmtId="0" fontId="1" fillId="2" borderId="17" xfId="0" applyFont="1" applyFill="1" applyBorder="1" applyAlignment="1">
      <alignment horizontal="centerContinuous" vertical="center" wrapText="1"/>
    </xf>
    <xf numFmtId="0" fontId="0" fillId="2" borderId="1" xfId="0" applyFill="1" applyBorder="1" applyAlignment="1">
      <alignment vertical="center" wrapText="1"/>
    </xf>
    <xf numFmtId="0" fontId="0" fillId="0" borderId="1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 xfId="0" applyFont="1" applyFill="1" applyBorder="1" applyAlignment="1">
      <alignment horizontal="left" vertical="center" wrapText="1"/>
    </xf>
    <xf numFmtId="169" fontId="0" fillId="0" borderId="2" xfId="0" applyNumberFormat="1" applyFill="1" applyBorder="1" applyAlignment="1">
      <alignment vertical="center" wrapText="1"/>
    </xf>
    <xf numFmtId="169" fontId="0" fillId="0" borderId="1" xfId="0" applyNumberFormat="1"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19" xfId="0" applyFill="1" applyBorder="1" applyAlignment="1">
      <alignment vertical="center" wrapText="1"/>
    </xf>
    <xf numFmtId="0" fontId="0" fillId="0" borderId="1" xfId="20" applyFont="1" applyFill="1" applyBorder="1" applyAlignment="1">
      <alignment horizontal="center" vertical="center" wrapText="1"/>
    </xf>
    <xf numFmtId="0" fontId="0" fillId="0" borderId="22" xfId="0" applyFill="1" applyBorder="1" applyAlignment="1">
      <alignment vertical="center" wrapText="1"/>
    </xf>
    <xf numFmtId="0" fontId="1"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1" fillId="2" borderId="23" xfId="0" applyFont="1" applyFill="1" applyBorder="1" applyAlignment="1">
      <alignment horizontal="center" vertical="center" wrapText="1"/>
    </xf>
    <xf numFmtId="0" fontId="0" fillId="0" borderId="24" xfId="0" applyFill="1" applyBorder="1" applyAlignment="1">
      <alignment vertical="center" wrapText="1"/>
    </xf>
    <xf numFmtId="0" fontId="8" fillId="0" borderId="1" xfId="0" applyFont="1" applyFill="1" applyBorder="1" applyAlignment="1">
      <alignment vertical="center" wrapText="1"/>
    </xf>
    <xf numFmtId="171" fontId="0" fillId="0" borderId="1" xfId="15" applyNumberFormat="1" applyFont="1" applyFill="1" applyBorder="1" applyAlignment="1">
      <alignment vertical="center" wrapText="1"/>
    </xf>
    <xf numFmtId="170" fontId="1" fillId="2" borderId="16" xfId="15" applyNumberFormat="1" applyFont="1" applyFill="1" applyBorder="1" applyAlignment="1">
      <alignment horizontal="centerContinuous" vertical="center" wrapText="1"/>
    </xf>
    <xf numFmtId="49" fontId="0" fillId="0" borderId="11" xfId="0" applyNumberFormat="1" applyFill="1" applyBorder="1" applyAlignment="1">
      <alignment vertical="center" wrapText="1"/>
    </xf>
    <xf numFmtId="3" fontId="0" fillId="0" borderId="1" xfId="0" applyNumberFormat="1" applyFill="1" applyBorder="1" applyAlignment="1">
      <alignmen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169" fontId="0" fillId="0" borderId="11" xfId="0" applyNumberFormat="1" applyFill="1" applyBorder="1" applyAlignment="1">
      <alignment vertical="center" wrapText="1"/>
    </xf>
    <xf numFmtId="0" fontId="1" fillId="2" borderId="27" xfId="0" applyFont="1" applyFill="1" applyBorder="1" applyAlignment="1">
      <alignment horizontal="centerContinuous" vertical="center" wrapText="1"/>
    </xf>
    <xf numFmtId="0" fontId="0" fillId="2" borderId="28" xfId="0" applyFill="1" applyBorder="1" applyAlignment="1">
      <alignment horizontal="centerContinuous" vertical="center"/>
    </xf>
    <xf numFmtId="0" fontId="0" fillId="2" borderId="29" xfId="0" applyFill="1" applyBorder="1" applyAlignment="1">
      <alignment horizontal="centerContinuous" vertical="center"/>
    </xf>
    <xf numFmtId="43" fontId="1" fillId="2" borderId="17" xfId="15" applyFont="1" applyFill="1" applyBorder="1" applyAlignment="1">
      <alignment horizontal="centerContinuous" vertical="center" wrapText="1"/>
    </xf>
    <xf numFmtId="0" fontId="6" fillId="2" borderId="30" xfId="0" applyFont="1" applyFill="1" applyBorder="1" applyAlignment="1">
      <alignment horizontal="center" vertical="top" textRotation="255" wrapText="1"/>
    </xf>
    <xf numFmtId="0" fontId="6" fillId="2" borderId="31" xfId="0" applyFont="1" applyFill="1" applyBorder="1" applyAlignment="1">
      <alignment horizontal="center" vertical="top" textRotation="255" wrapText="1"/>
    </xf>
    <xf numFmtId="0" fontId="6" fillId="2" borderId="32" xfId="0" applyFont="1" applyFill="1" applyBorder="1" applyAlignment="1">
      <alignment horizontal="center" vertical="top" textRotation="255" wrapText="1"/>
    </xf>
    <xf numFmtId="0" fontId="1" fillId="2" borderId="33"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0" fillId="0" borderId="34" xfId="0" applyFill="1" applyBorder="1" applyAlignment="1">
      <alignment vertical="center" wrapText="1"/>
    </xf>
    <xf numFmtId="169" fontId="0" fillId="0" borderId="11" xfId="15" applyNumberFormat="1" applyFill="1" applyBorder="1" applyAlignment="1">
      <alignment vertical="center" wrapText="1"/>
    </xf>
    <xf numFmtId="0" fontId="0" fillId="0" borderId="1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2" xfId="0" applyFont="1" applyFill="1" applyBorder="1" applyAlignment="1">
      <alignment horizontal="center" vertical="center" wrapText="1"/>
    </xf>
    <xf numFmtId="0" fontId="2" fillId="0" borderId="22" xfId="20" applyFill="1" applyBorder="1" applyAlignment="1">
      <alignment horizontal="center" vertical="center" wrapText="1"/>
    </xf>
    <xf numFmtId="0" fontId="0" fillId="0" borderId="35" xfId="0" applyFill="1" applyBorder="1" applyAlignment="1">
      <alignment horizontal="center" vertical="center" wrapText="1"/>
    </xf>
    <xf numFmtId="0" fontId="0" fillId="0" borderId="0" xfId="0" applyAlignment="1">
      <alignment horizontal="center"/>
    </xf>
    <xf numFmtId="0" fontId="1" fillId="0" borderId="0" xfId="0" applyFont="1" applyAlignment="1">
      <alignment horizontal="center" wrapText="1"/>
    </xf>
    <xf numFmtId="0" fontId="1" fillId="0" borderId="0" xfId="0" applyFont="1" applyAlignment="1">
      <alignment/>
    </xf>
    <xf numFmtId="0" fontId="4" fillId="0" borderId="0" xfId="0" applyFont="1" applyFill="1" applyAlignment="1">
      <alignment horizontal="left" vertical="center"/>
    </xf>
    <xf numFmtId="0" fontId="7" fillId="0" borderId="0" xfId="0" applyFont="1" applyFill="1" applyAlignment="1">
      <alignment vertical="center"/>
    </xf>
    <xf numFmtId="170" fontId="0" fillId="0" borderId="0" xfId="15" applyNumberFormat="1" applyFill="1" applyAlignment="1">
      <alignment vertical="center"/>
    </xf>
    <xf numFmtId="0" fontId="0" fillId="0" borderId="0" xfId="0" applyAlignment="1">
      <alignment vertical="center"/>
    </xf>
    <xf numFmtId="0" fontId="1" fillId="2" borderId="27" xfId="0" applyFont="1" applyFill="1" applyBorder="1" applyAlignment="1">
      <alignment horizontal="centerContinuous" vertical="center"/>
    </xf>
    <xf numFmtId="0" fontId="1" fillId="2" borderId="28" xfId="0" applyFont="1" applyFill="1" applyBorder="1" applyAlignment="1">
      <alignment horizontal="centerContinuous" vertical="center"/>
    </xf>
    <xf numFmtId="0" fontId="1" fillId="2" borderId="29" xfId="0" applyFont="1" applyFill="1" applyBorder="1" applyAlignment="1">
      <alignment horizontal="centerContinuous" vertical="center"/>
    </xf>
    <xf numFmtId="0" fontId="1" fillId="2" borderId="36" xfId="0" applyFont="1" applyFill="1" applyBorder="1" applyAlignment="1">
      <alignment vertical="center"/>
    </xf>
    <xf numFmtId="0" fontId="1" fillId="2" borderId="32" xfId="0" applyFont="1" applyFill="1" applyBorder="1" applyAlignment="1">
      <alignment vertical="center"/>
    </xf>
    <xf numFmtId="0" fontId="1" fillId="2" borderId="37" xfId="0" applyFont="1" applyFill="1" applyBorder="1" applyAlignment="1">
      <alignment vertical="center"/>
    </xf>
    <xf numFmtId="0" fontId="1" fillId="2" borderId="28" xfId="0" applyFont="1" applyFill="1" applyBorder="1" applyAlignment="1">
      <alignment horizontal="centerContinuous" vertical="center" wrapText="1"/>
    </xf>
    <xf numFmtId="0" fontId="1" fillId="2" borderId="29" xfId="0" applyFont="1" applyFill="1" applyBorder="1" applyAlignment="1">
      <alignment horizontal="centerContinuous" vertical="center" wrapText="1"/>
    </xf>
    <xf numFmtId="0" fontId="1" fillId="2" borderId="38" xfId="0" applyFont="1" applyFill="1" applyBorder="1" applyAlignment="1">
      <alignment vertical="center"/>
    </xf>
    <xf numFmtId="0" fontId="1" fillId="2" borderId="39" xfId="0" applyFont="1" applyFill="1" applyBorder="1" applyAlignment="1">
      <alignment horizontal="centerContinuous" vertical="center" wrapText="1"/>
    </xf>
    <xf numFmtId="0" fontId="1" fillId="2" borderId="40" xfId="0" applyFont="1" applyFill="1" applyBorder="1" applyAlignment="1">
      <alignment horizontal="centerContinuous" vertical="center" wrapText="1"/>
    </xf>
    <xf numFmtId="0" fontId="1" fillId="2" borderId="41" xfId="0" applyFont="1" applyFill="1" applyBorder="1" applyAlignment="1">
      <alignment horizontal="centerContinuous" vertical="center" wrapText="1"/>
    </xf>
    <xf numFmtId="0" fontId="1" fillId="2" borderId="42" xfId="0" applyFont="1" applyFill="1" applyBorder="1" applyAlignment="1">
      <alignment horizontal="left"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53" xfId="0" applyFont="1" applyFill="1" applyBorder="1" applyAlignment="1">
      <alignment horizontal="center" vertical="center" wrapText="1"/>
    </xf>
    <xf numFmtId="170" fontId="1" fillId="2" borderId="50" xfId="15" applyNumberFormat="1"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56" xfId="0" applyFont="1" applyFill="1" applyBorder="1" applyAlignment="1">
      <alignment horizontal="center" vertical="center" wrapText="1"/>
    </xf>
    <xf numFmtId="170" fontId="0" fillId="0" borderId="2" xfId="15" applyNumberFormat="1" applyFill="1" applyBorder="1" applyAlignment="1">
      <alignment vertical="center" wrapText="1"/>
    </xf>
    <xf numFmtId="170" fontId="0" fillId="0" borderId="2" xfId="15" applyNumberFormat="1" applyFont="1" applyFill="1" applyBorder="1" applyAlignment="1">
      <alignment vertical="center" wrapText="1"/>
    </xf>
    <xf numFmtId="171" fontId="0" fillId="0" borderId="2" xfId="15" applyNumberFormat="1" applyFill="1" applyBorder="1" applyAlignment="1">
      <alignment vertical="center" wrapText="1"/>
    </xf>
    <xf numFmtId="43" fontId="0" fillId="0" borderId="2" xfId="15" applyNumberFormat="1" applyFill="1" applyBorder="1" applyAlignment="1">
      <alignment vertical="center" wrapText="1"/>
    </xf>
    <xf numFmtId="170" fontId="0" fillId="0" borderId="1" xfId="15" applyNumberFormat="1" applyFill="1" applyBorder="1" applyAlignment="1">
      <alignment vertical="center" wrapText="1"/>
    </xf>
    <xf numFmtId="43" fontId="0" fillId="0" borderId="1" xfId="15" applyNumberFormat="1" applyFill="1" applyBorder="1" applyAlignment="1">
      <alignment vertical="center" wrapText="1"/>
    </xf>
    <xf numFmtId="0" fontId="0" fillId="0" borderId="57" xfId="0" applyFont="1" applyFill="1" applyBorder="1" applyAlignment="1">
      <alignment horizontal="left" vertical="center" wrapText="1"/>
    </xf>
    <xf numFmtId="0" fontId="0" fillId="0" borderId="0" xfId="0" applyAlignment="1">
      <alignment vertical="center" wrapText="1"/>
    </xf>
    <xf numFmtId="0" fontId="0" fillId="0" borderId="1" xfId="0" applyBorder="1" applyAlignment="1">
      <alignment vertical="center" wrapText="1"/>
    </xf>
    <xf numFmtId="0" fontId="0" fillId="0" borderId="58" xfId="0" applyBorder="1" applyAlignment="1">
      <alignment vertical="center" wrapText="1"/>
    </xf>
    <xf numFmtId="0" fontId="4" fillId="0" borderId="0" xfId="0" applyFont="1" applyFill="1" applyAlignment="1">
      <alignment vertical="center"/>
    </xf>
    <xf numFmtId="167" fontId="0" fillId="0" borderId="0" xfId="0" applyNumberFormat="1" applyFill="1" applyAlignment="1">
      <alignment vertical="center"/>
    </xf>
    <xf numFmtId="0" fontId="1" fillId="0" borderId="59" xfId="0" applyFont="1" applyFill="1" applyBorder="1" applyAlignment="1">
      <alignment horizontal="left" vertical="center" wrapText="1"/>
    </xf>
    <xf numFmtId="0" fontId="1" fillId="0" borderId="60" xfId="0" applyFont="1" applyFill="1" applyBorder="1" applyAlignment="1">
      <alignment horizontal="left" vertical="center" wrapText="1"/>
    </xf>
    <xf numFmtId="0" fontId="1" fillId="0" borderId="0" xfId="0" applyFont="1" applyFill="1" applyAlignment="1">
      <alignment horizontal="center" vertical="center" wrapText="1"/>
    </xf>
    <xf numFmtId="0" fontId="1" fillId="2" borderId="17" xfId="0" applyFont="1" applyFill="1" applyBorder="1" applyAlignment="1">
      <alignment horizontal="left" vertical="center" wrapText="1"/>
    </xf>
    <xf numFmtId="0" fontId="1" fillId="2" borderId="61"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2" borderId="64" xfId="0" applyFont="1" applyFill="1" applyBorder="1" applyAlignment="1">
      <alignment horizontal="center" vertical="center" wrapText="1"/>
    </xf>
    <xf numFmtId="43" fontId="0" fillId="0" borderId="0" xfId="15" applyFill="1" applyAlignment="1">
      <alignment vertical="center"/>
    </xf>
    <xf numFmtId="0" fontId="1" fillId="2" borderId="65" xfId="0" applyFont="1" applyFill="1" applyBorder="1" applyAlignment="1">
      <alignment horizontal="center" vertical="center" wrapText="1"/>
    </xf>
    <xf numFmtId="0" fontId="1" fillId="2" borderId="66" xfId="0" applyFont="1" applyFill="1" applyBorder="1" applyAlignment="1">
      <alignment horizontal="center" vertical="center" wrapText="1"/>
    </xf>
    <xf numFmtId="174" fontId="7" fillId="0" borderId="0" xfId="0" applyNumberFormat="1" applyFont="1" applyFill="1" applyAlignment="1">
      <alignment vertical="center"/>
    </xf>
    <xf numFmtId="174" fontId="0" fillId="0" borderId="0" xfId="0" applyNumberFormat="1" applyFill="1" applyAlignment="1">
      <alignment vertical="center"/>
    </xf>
    <xf numFmtId="0" fontId="1" fillId="2" borderId="41" xfId="0" applyFont="1" applyFill="1" applyBorder="1" applyAlignment="1">
      <alignment vertical="center"/>
    </xf>
    <xf numFmtId="0" fontId="1" fillId="2" borderId="67"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0" fillId="0" borderId="0" xfId="0" applyFill="1" applyBorder="1" applyAlignment="1">
      <alignment vertical="center"/>
    </xf>
    <xf numFmtId="0" fontId="2" fillId="0" borderId="1" xfId="20" applyFill="1" applyBorder="1" applyAlignment="1">
      <alignment horizontal="left" vertical="center" wrapText="1"/>
    </xf>
    <xf numFmtId="0" fontId="2" fillId="0" borderId="1" xfId="2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68" xfId="0" applyFill="1" applyBorder="1" applyAlignment="1">
      <alignment vertical="center" wrapText="1"/>
    </xf>
    <xf numFmtId="0" fontId="0" fillId="0" borderId="68" xfId="0" applyFill="1" applyBorder="1" applyAlignment="1">
      <alignment vertical="center"/>
    </xf>
    <xf numFmtId="0" fontId="0" fillId="0" borderId="1" xfId="0" applyFill="1" applyBorder="1" applyAlignment="1">
      <alignment vertical="center"/>
    </xf>
    <xf numFmtId="0" fontId="1" fillId="2" borderId="69" xfId="0" applyFont="1" applyFill="1" applyBorder="1" applyAlignment="1">
      <alignment horizontal="center" vertical="center" wrapText="1"/>
    </xf>
    <xf numFmtId="0" fontId="2" fillId="0" borderId="2" xfId="20" applyFill="1" applyBorder="1" applyAlignment="1">
      <alignment horizontal="left" vertical="center" wrapText="1"/>
    </xf>
    <xf numFmtId="0" fontId="0" fillId="0" borderId="2" xfId="0" applyFill="1" applyBorder="1" applyAlignment="1">
      <alignment horizontal="left" vertical="center" wrapText="1"/>
    </xf>
    <xf numFmtId="0" fontId="1" fillId="2" borderId="18" xfId="0" applyFont="1" applyFill="1" applyBorder="1" applyAlignment="1">
      <alignment horizontal="left" vertical="center"/>
    </xf>
    <xf numFmtId="0" fontId="0" fillId="2" borderId="70" xfId="0" applyFont="1" applyFill="1" applyBorder="1" applyAlignment="1">
      <alignment horizontal="left" vertical="center" wrapText="1"/>
    </xf>
    <xf numFmtId="0" fontId="2" fillId="2" borderId="4" xfId="20"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4" xfId="0" applyFill="1" applyBorder="1" applyAlignment="1">
      <alignment horizontal="left" vertical="center" wrapText="1"/>
    </xf>
    <xf numFmtId="0" fontId="0" fillId="2" borderId="71" xfId="0" applyFill="1" applyBorder="1" applyAlignment="1">
      <alignment vertical="center"/>
    </xf>
    <xf numFmtId="0" fontId="0" fillId="2" borderId="72" xfId="0" applyFill="1" applyBorder="1" applyAlignment="1">
      <alignment vertical="center"/>
    </xf>
    <xf numFmtId="0" fontId="0" fillId="0" borderId="22" xfId="0" applyFill="1" applyBorder="1" applyAlignment="1">
      <alignment vertical="center"/>
    </xf>
    <xf numFmtId="0" fontId="0" fillId="0" borderId="2" xfId="0" applyFill="1" applyBorder="1" applyAlignment="1">
      <alignment vertical="center"/>
    </xf>
    <xf numFmtId="0" fontId="0" fillId="2" borderId="73" xfId="0" applyFill="1" applyBorder="1" applyAlignment="1">
      <alignment vertical="center"/>
    </xf>
    <xf numFmtId="0" fontId="0" fillId="2" borderId="74" xfId="0" applyFill="1" applyBorder="1" applyAlignment="1">
      <alignment vertical="center"/>
    </xf>
    <xf numFmtId="0" fontId="5" fillId="0" borderId="1" xfId="0" applyFont="1" applyFill="1" applyBorder="1" applyAlignment="1">
      <alignment horizontal="left" vertical="center" wrapText="1"/>
    </xf>
    <xf numFmtId="0" fontId="0" fillId="0" borderId="11" xfId="0" applyFill="1" applyBorder="1" applyAlignment="1">
      <alignment vertical="center"/>
    </xf>
    <xf numFmtId="0" fontId="2" fillId="0" borderId="75" xfId="20" applyFill="1" applyBorder="1" applyAlignment="1">
      <alignment horizontal="left" vertical="center" wrapText="1"/>
    </xf>
    <xf numFmtId="0" fontId="0" fillId="0" borderId="75"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0" fillId="0" borderId="75" xfId="0" applyFill="1" applyBorder="1" applyAlignment="1">
      <alignment horizontal="left" vertical="center" wrapText="1"/>
    </xf>
    <xf numFmtId="0" fontId="0" fillId="0" borderId="75" xfId="0" applyFill="1" applyBorder="1" applyAlignment="1">
      <alignment vertical="center" wrapText="1"/>
    </xf>
    <xf numFmtId="0" fontId="0" fillId="0" borderId="63" xfId="0" applyFill="1" applyBorder="1" applyAlignment="1">
      <alignment vertical="center"/>
    </xf>
    <xf numFmtId="0" fontId="0" fillId="0" borderId="74" xfId="0" applyFill="1" applyBorder="1" applyAlignment="1">
      <alignment vertical="center" wrapText="1"/>
    </xf>
    <xf numFmtId="0" fontId="1" fillId="2" borderId="4" xfId="0" applyFont="1" applyFill="1" applyBorder="1" applyAlignment="1">
      <alignment horizontal="left" vertical="center" wrapText="1"/>
    </xf>
    <xf numFmtId="0" fontId="6" fillId="2" borderId="4" xfId="0" applyFont="1" applyFill="1" applyBorder="1" applyAlignment="1">
      <alignment horizontal="center" vertical="center" textRotation="255" wrapText="1"/>
    </xf>
    <xf numFmtId="0" fontId="6" fillId="2" borderId="4"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35" xfId="0" applyFill="1" applyBorder="1" applyAlignment="1">
      <alignment vertical="center" wrapText="1"/>
    </xf>
    <xf numFmtId="171" fontId="0" fillId="0" borderId="1" xfId="15" applyNumberFormat="1" applyFill="1" applyBorder="1" applyAlignment="1">
      <alignment vertical="center" wrapText="1"/>
    </xf>
    <xf numFmtId="0" fontId="0" fillId="0" borderId="11" xfId="0" applyFont="1" applyFill="1" applyBorder="1" applyAlignment="1">
      <alignment horizontal="left" vertical="center" wrapText="1"/>
    </xf>
    <xf numFmtId="0" fontId="1" fillId="2" borderId="77" xfId="0" applyFont="1" applyFill="1" applyBorder="1" applyAlignment="1">
      <alignment horizontal="left" vertical="center"/>
    </xf>
    <xf numFmtId="171" fontId="1" fillId="2" borderId="4" xfId="15" applyNumberFormat="1" applyFont="1" applyFill="1" applyBorder="1" applyAlignment="1">
      <alignment horizontal="center" vertical="center" wrapText="1"/>
    </xf>
    <xf numFmtId="0" fontId="1" fillId="0" borderId="0" xfId="0" applyFont="1" applyFill="1" applyAlignment="1">
      <alignment vertical="center"/>
    </xf>
    <xf numFmtId="0" fontId="2" fillId="0" borderId="22" xfId="20" applyFill="1" applyBorder="1" applyAlignment="1">
      <alignment vertical="center" wrapText="1"/>
    </xf>
    <xf numFmtId="3" fontId="0" fillId="0" borderId="0" xfId="0" applyNumberFormat="1" applyFill="1" applyAlignment="1">
      <alignment vertical="center"/>
    </xf>
    <xf numFmtId="0" fontId="0" fillId="0" borderId="0" xfId="0" applyFont="1" applyFill="1" applyBorder="1" applyAlignment="1">
      <alignment horizontal="left" vertical="center" wrapText="1"/>
    </xf>
    <xf numFmtId="0" fontId="0" fillId="0" borderId="78" xfId="0" applyFill="1" applyBorder="1" applyAlignment="1">
      <alignment vertical="center"/>
    </xf>
    <xf numFmtId="3" fontId="0" fillId="0" borderId="1" xfId="0" applyNumberFormat="1" applyFill="1" applyBorder="1" applyAlignment="1">
      <alignment vertical="center"/>
    </xf>
    <xf numFmtId="0" fontId="7" fillId="0" borderId="1" xfId="0" applyFont="1" applyFill="1" applyBorder="1" applyAlignment="1">
      <alignment vertical="center" wrapText="1"/>
    </xf>
    <xf numFmtId="0" fontId="1" fillId="2" borderId="1" xfId="0" applyFont="1" applyFill="1" applyBorder="1" applyAlignment="1">
      <alignment horizontal="left" vertical="center"/>
    </xf>
    <xf numFmtId="169" fontId="0" fillId="0" borderId="2" xfId="0" applyNumberFormat="1" applyBorder="1" applyAlignment="1">
      <alignment vertical="center"/>
    </xf>
    <xf numFmtId="169" fontId="0" fillId="0" borderId="2" xfId="0" applyNumberFormat="1" applyFill="1" applyBorder="1" applyAlignment="1">
      <alignment vertical="center"/>
    </xf>
    <xf numFmtId="169" fontId="0" fillId="0" borderId="22" xfId="0" applyNumberFormat="1" applyFill="1" applyBorder="1" applyAlignment="1">
      <alignment vertical="center" wrapText="1"/>
    </xf>
    <xf numFmtId="169" fontId="0" fillId="0" borderId="1" xfId="0" applyNumberFormat="1" applyFill="1" applyBorder="1" applyAlignment="1">
      <alignment vertical="center"/>
    </xf>
    <xf numFmtId="170" fontId="0" fillId="0" borderId="1" xfId="15" applyNumberFormat="1" applyFill="1" applyBorder="1" applyAlignment="1">
      <alignment vertical="center"/>
    </xf>
    <xf numFmtId="0" fontId="0" fillId="0" borderId="11" xfId="0" applyFont="1" applyFill="1" applyBorder="1" applyAlignment="1">
      <alignment horizontal="center" vertical="center" wrapText="1"/>
    </xf>
    <xf numFmtId="0" fontId="2" fillId="0" borderId="11" xfId="20"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13" xfId="20" applyFill="1" applyBorder="1" applyAlignment="1">
      <alignment horizontal="center" vertical="center" wrapText="1"/>
    </xf>
    <xf numFmtId="175" fontId="0" fillId="0" borderId="2" xfId="15" applyNumberFormat="1" applyFill="1" applyBorder="1" applyAlignment="1">
      <alignment vertical="center" wrapText="1"/>
    </xf>
    <xf numFmtId="43" fontId="0" fillId="0" borderId="34" xfId="15" applyFont="1" applyFill="1" applyBorder="1" applyAlignment="1">
      <alignment horizontal="left" vertical="center" wrapText="1"/>
    </xf>
    <xf numFmtId="170" fontId="0" fillId="0" borderId="34" xfId="15" applyNumberFormat="1" applyFont="1" applyFill="1" applyBorder="1" applyAlignment="1">
      <alignment horizontal="left" vertical="center" wrapText="1"/>
    </xf>
    <xf numFmtId="170" fontId="0" fillId="0" borderId="13" xfId="15" applyNumberFormat="1" applyFont="1" applyFill="1" applyBorder="1" applyAlignment="1">
      <alignment horizontal="left" vertical="center" wrapText="1"/>
    </xf>
    <xf numFmtId="170" fontId="0" fillId="0" borderId="34" xfId="15" applyNumberFormat="1" applyFont="1" applyFill="1" applyBorder="1" applyAlignment="1">
      <alignment vertical="center" wrapText="1"/>
    </xf>
    <xf numFmtId="170" fontId="0" fillId="0" borderId="13" xfId="15" applyNumberFormat="1" applyFont="1" applyFill="1" applyBorder="1" applyAlignment="1">
      <alignment vertical="center" wrapText="1"/>
    </xf>
    <xf numFmtId="0" fontId="0" fillId="0" borderId="15" xfId="0" applyFill="1" applyBorder="1" applyAlignment="1">
      <alignment vertical="center" wrapText="1"/>
    </xf>
    <xf numFmtId="43" fontId="0" fillId="0" borderId="15" xfId="15" applyFont="1" applyFill="1" applyBorder="1" applyAlignment="1">
      <alignment horizontal="left" vertical="center" wrapText="1"/>
    </xf>
    <xf numFmtId="0" fontId="0" fillId="3" borderId="15" xfId="0" applyFont="1" applyFill="1" applyBorder="1" applyAlignment="1">
      <alignment horizontal="left" vertical="center" wrapText="1"/>
    </xf>
    <xf numFmtId="0" fontId="0" fillId="3" borderId="15" xfId="0" applyFill="1" applyBorder="1" applyAlignment="1">
      <alignment vertical="center" wrapText="1"/>
    </xf>
    <xf numFmtId="43" fontId="0" fillId="3" borderId="15" xfId="15" applyFont="1" applyFill="1" applyBorder="1" applyAlignment="1">
      <alignment horizontal="left" vertical="center" wrapText="1"/>
    </xf>
    <xf numFmtId="43" fontId="2" fillId="3" borderId="15" xfId="15" applyFill="1" applyBorder="1" applyAlignment="1">
      <alignment horizontal="left" vertical="center" wrapText="1"/>
    </xf>
    <xf numFmtId="0" fontId="2" fillId="3" borderId="15" xfId="20" applyFill="1" applyBorder="1" applyAlignment="1">
      <alignment horizontal="left" vertical="center" wrapText="1"/>
    </xf>
    <xf numFmtId="0" fontId="0" fillId="3" borderId="15" xfId="0" applyFill="1" applyBorder="1" applyAlignment="1">
      <alignment horizontal="left" vertical="center" wrapText="1"/>
    </xf>
    <xf numFmtId="0" fontId="7" fillId="3" borderId="15" xfId="0" applyFont="1" applyFill="1" applyBorder="1" applyAlignment="1">
      <alignment vertical="center" wrapText="1"/>
    </xf>
    <xf numFmtId="43" fontId="0" fillId="0" borderId="15" xfId="15" applyFont="1" applyFill="1" applyBorder="1" applyAlignment="1">
      <alignment vertical="center" wrapText="1"/>
    </xf>
    <xf numFmtId="43" fontId="1" fillId="2" borderId="79" xfId="15" applyFont="1" applyFill="1" applyBorder="1" applyAlignment="1">
      <alignment horizontal="center" vertical="center" wrapText="1"/>
    </xf>
    <xf numFmtId="43" fontId="1" fillId="2" borderId="26" xfId="15" applyFont="1" applyFill="1" applyBorder="1" applyAlignment="1">
      <alignment horizontal="center" vertical="center" wrapText="1"/>
    </xf>
    <xf numFmtId="43" fontId="1" fillId="2" borderId="80" xfId="15" applyFont="1" applyFill="1" applyBorder="1" applyAlignment="1">
      <alignment horizontal="center" vertical="center" wrapText="1"/>
    </xf>
    <xf numFmtId="0" fontId="1" fillId="2" borderId="81" xfId="0" applyFont="1" applyFill="1" applyBorder="1" applyAlignment="1">
      <alignment horizontal="center" vertical="center" wrapText="1"/>
    </xf>
    <xf numFmtId="43" fontId="0" fillId="0" borderId="34" xfId="15" applyFont="1" applyFill="1" applyBorder="1" applyAlignment="1">
      <alignment vertical="center" wrapText="1"/>
    </xf>
    <xf numFmtId="170" fontId="0" fillId="0" borderId="34" xfId="15" applyNumberFormat="1" applyFill="1" applyBorder="1" applyAlignment="1">
      <alignment vertical="center" wrapText="1"/>
    </xf>
    <xf numFmtId="170" fontId="0" fillId="0" borderId="15" xfId="15" applyNumberFormat="1" applyFont="1" applyFill="1" applyBorder="1" applyAlignment="1">
      <alignment horizontal="left" vertical="center" wrapText="1"/>
    </xf>
    <xf numFmtId="170" fontId="0" fillId="0" borderId="15" xfId="15" applyNumberFormat="1" applyFill="1" applyBorder="1" applyAlignment="1">
      <alignment horizontal="left" vertical="center" wrapText="1"/>
    </xf>
    <xf numFmtId="170" fontId="0" fillId="0" borderId="15" xfId="15" applyNumberFormat="1" applyFill="1" applyBorder="1" applyAlignment="1">
      <alignment vertical="center" wrapText="1"/>
    </xf>
    <xf numFmtId="170" fontId="0" fillId="0" borderId="68" xfId="15" applyNumberFormat="1" applyFill="1" applyBorder="1" applyAlignment="1">
      <alignment vertical="center"/>
    </xf>
    <xf numFmtId="170" fontId="0" fillId="0" borderId="20" xfId="15" applyNumberFormat="1" applyFill="1" applyBorder="1" applyAlignment="1">
      <alignment horizontal="right" vertical="center" wrapText="1"/>
    </xf>
    <xf numFmtId="169" fontId="0" fillId="0" borderId="0" xfId="0" applyNumberFormat="1" applyFill="1" applyAlignment="1">
      <alignment vertical="center"/>
    </xf>
    <xf numFmtId="0" fontId="0" fillId="4" borderId="1" xfId="0" applyFont="1" applyFill="1" applyBorder="1" applyAlignment="1">
      <alignment vertical="center" wrapText="1"/>
    </xf>
    <xf numFmtId="0" fontId="0" fillId="4" borderId="1" xfId="0" applyFill="1" applyBorder="1" applyAlignment="1">
      <alignment vertical="center" wrapText="1"/>
    </xf>
    <xf numFmtId="169" fontId="0" fillId="4" borderId="1" xfId="0" applyNumberFormat="1" applyFill="1" applyBorder="1" applyAlignment="1">
      <alignment vertical="center" wrapText="1"/>
    </xf>
    <xf numFmtId="169" fontId="0" fillId="4" borderId="1" xfId="15" applyNumberFormat="1" applyFont="1" applyFill="1" applyBorder="1" applyAlignment="1">
      <alignment vertical="center" wrapText="1"/>
    </xf>
    <xf numFmtId="0" fontId="0" fillId="4" borderId="15"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0" fillId="4" borderId="2" xfId="0" applyFont="1" applyFill="1" applyBorder="1" applyAlignment="1">
      <alignment horizontal="center" vertical="center" wrapText="1"/>
    </xf>
    <xf numFmtId="0" fontId="2" fillId="4" borderId="2" xfId="20" applyFill="1" applyBorder="1" applyAlignment="1">
      <alignment horizontal="center" vertical="center" wrapText="1"/>
    </xf>
    <xf numFmtId="0" fontId="0" fillId="4" borderId="2" xfId="0" applyFill="1" applyBorder="1" applyAlignment="1">
      <alignment horizontal="center" vertical="center" wrapText="1"/>
    </xf>
    <xf numFmtId="0" fontId="0" fillId="4" borderId="2" xfId="0" applyFill="1" applyBorder="1" applyAlignment="1">
      <alignment vertical="center" wrapText="1"/>
    </xf>
    <xf numFmtId="0" fontId="0" fillId="4" borderId="0" xfId="0" applyFill="1" applyAlignment="1">
      <alignment vertical="center" wrapText="1"/>
    </xf>
    <xf numFmtId="0" fontId="2" fillId="4" borderId="2" xfId="20" applyFill="1" applyBorder="1" applyAlignment="1">
      <alignment vertical="center" wrapText="1"/>
    </xf>
    <xf numFmtId="0" fontId="0" fillId="4" borderId="10" xfId="0" applyFill="1" applyBorder="1" applyAlignment="1">
      <alignment vertical="center" wrapText="1"/>
    </xf>
    <xf numFmtId="170" fontId="0" fillId="4" borderId="1" xfId="15" applyNumberFormat="1" applyFill="1" applyBorder="1" applyAlignment="1">
      <alignment vertical="center" wrapText="1"/>
    </xf>
    <xf numFmtId="169" fontId="0" fillId="4" borderId="1" xfId="0" applyNumberFormat="1" applyFill="1" applyBorder="1" applyAlignment="1">
      <alignment horizontal="center" vertical="center" wrapText="1"/>
    </xf>
    <xf numFmtId="0" fontId="0" fillId="5" borderId="1" xfId="0" applyFont="1" applyFill="1" applyBorder="1" applyAlignment="1">
      <alignment vertical="center" wrapText="1"/>
    </xf>
    <xf numFmtId="0" fontId="0" fillId="5" borderId="1" xfId="0" applyFill="1" applyBorder="1" applyAlignment="1">
      <alignment vertical="center" wrapText="1"/>
    </xf>
    <xf numFmtId="169" fontId="0" fillId="5" borderId="1" xfId="0" applyNumberFormat="1" applyFill="1" applyBorder="1" applyAlignment="1">
      <alignment horizontal="center" vertical="center" wrapText="1"/>
    </xf>
    <xf numFmtId="169" fontId="0" fillId="5" borderId="1" xfId="0" applyNumberFormat="1" applyFill="1" applyBorder="1" applyAlignment="1">
      <alignment vertical="center" wrapText="1"/>
    </xf>
    <xf numFmtId="169" fontId="0" fillId="5" borderId="1" xfId="15" applyNumberFormat="1" applyFont="1" applyFill="1" applyBorder="1" applyAlignment="1">
      <alignment vertical="center" wrapText="1"/>
    </xf>
    <xf numFmtId="169" fontId="0" fillId="5" borderId="1" xfId="0" applyNumberFormat="1" applyFont="1" applyFill="1" applyBorder="1" applyAlignment="1">
      <alignment horizontal="center" vertical="center" wrapText="1"/>
    </xf>
    <xf numFmtId="169" fontId="2" fillId="5" borderId="1" xfId="20" applyNumberFormat="1" applyFill="1" applyBorder="1" applyAlignment="1">
      <alignment horizontal="center" vertical="center" wrapText="1"/>
    </xf>
    <xf numFmtId="169" fontId="0" fillId="4" borderId="1" xfId="0" applyNumberFormat="1" applyFont="1" applyFill="1" applyBorder="1" applyAlignment="1">
      <alignment horizontal="center" vertical="center" wrapText="1"/>
    </xf>
    <xf numFmtId="169" fontId="2" fillId="4" borderId="1" xfId="20" applyNumberFormat="1" applyFill="1" applyBorder="1" applyAlignment="1">
      <alignment horizontal="center" vertical="center" wrapText="1"/>
    </xf>
    <xf numFmtId="169" fontId="0" fillId="4" borderId="1" xfId="15" applyNumberFormat="1" applyFill="1" applyBorder="1" applyAlignment="1">
      <alignment vertical="center" wrapText="1"/>
    </xf>
    <xf numFmtId="169" fontId="0" fillId="5" borderId="1" xfId="15" applyNumberFormat="1"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1" fillId="2" borderId="84" xfId="0" applyFont="1" applyFill="1" applyBorder="1" applyAlignment="1">
      <alignment horizontal="left" vertical="center"/>
    </xf>
    <xf numFmtId="171" fontId="0" fillId="0" borderId="2" xfId="15" applyNumberFormat="1" applyFont="1" applyFill="1" applyBorder="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vertical="center" wrapText="1"/>
    </xf>
    <xf numFmtId="0" fontId="12" fillId="2" borderId="2" xfId="20" applyFont="1" applyFill="1" applyBorder="1" applyAlignment="1">
      <alignment vertical="center" wrapText="1"/>
    </xf>
    <xf numFmtId="171" fontId="1" fillId="2" borderId="2" xfId="15" applyNumberFormat="1" applyFont="1" applyFill="1" applyBorder="1" applyAlignment="1">
      <alignment vertical="center" wrapText="1"/>
    </xf>
    <xf numFmtId="43" fontId="0" fillId="0" borderId="2" xfId="15" applyFill="1" applyBorder="1" applyAlignment="1">
      <alignment vertical="center" wrapText="1"/>
    </xf>
    <xf numFmtId="171" fontId="13" fillId="0" borderId="0" xfId="15" applyNumberFormat="1" applyFont="1" applyAlignment="1">
      <alignment vertical="center"/>
    </xf>
    <xf numFmtId="43" fontId="1" fillId="2" borderId="2" xfId="15" applyFont="1" applyFill="1" applyBorder="1" applyAlignment="1">
      <alignment vertical="center" wrapText="1"/>
    </xf>
    <xf numFmtId="0" fontId="1" fillId="2" borderId="13"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 xfId="0" applyFont="1" applyFill="1" applyBorder="1" applyAlignment="1">
      <alignment vertical="center" wrapText="1"/>
    </xf>
    <xf numFmtId="0" fontId="12" fillId="2" borderId="1" xfId="20" applyFont="1" applyFill="1" applyBorder="1" applyAlignment="1">
      <alignment horizontal="left" vertical="center" wrapText="1"/>
    </xf>
    <xf numFmtId="0" fontId="1" fillId="2" borderId="20" xfId="0" applyFont="1" applyFill="1" applyBorder="1" applyAlignment="1">
      <alignment vertical="center" wrapText="1"/>
    </xf>
    <xf numFmtId="171" fontId="1" fillId="2" borderId="1" xfId="15" applyNumberFormat="1" applyFont="1" applyFill="1" applyBorder="1" applyAlignment="1">
      <alignment vertical="center"/>
    </xf>
    <xf numFmtId="0" fontId="1" fillId="2" borderId="1" xfId="0" applyFont="1" applyFill="1" applyBorder="1" applyAlignment="1">
      <alignment vertical="center"/>
    </xf>
    <xf numFmtId="170" fontId="1" fillId="2" borderId="1" xfId="15" applyNumberFormat="1" applyFont="1" applyFill="1" applyBorder="1" applyAlignment="1">
      <alignment vertical="center"/>
    </xf>
    <xf numFmtId="0" fontId="1" fillId="2" borderId="24" xfId="0" applyFont="1" applyFill="1" applyBorder="1" applyAlignment="1">
      <alignment vertical="center" wrapText="1"/>
    </xf>
    <xf numFmtId="0" fontId="1" fillId="2" borderId="13" xfId="0" applyFont="1" applyFill="1" applyBorder="1" applyAlignment="1">
      <alignment horizontal="left" vertical="center"/>
    </xf>
    <xf numFmtId="3" fontId="1" fillId="2" borderId="1" xfId="0" applyNumberFormat="1" applyFont="1" applyFill="1" applyBorder="1" applyAlignment="1">
      <alignment vertical="center"/>
    </xf>
    <xf numFmtId="39" fontId="1" fillId="2" borderId="1" xfId="15" applyNumberFormat="1" applyFont="1" applyFill="1" applyBorder="1" applyAlignment="1">
      <alignment vertical="center"/>
    </xf>
    <xf numFmtId="4" fontId="1" fillId="2" borderId="1" xfId="0" applyNumberFormat="1" applyFont="1" applyFill="1" applyBorder="1" applyAlignment="1">
      <alignment vertical="center"/>
    </xf>
    <xf numFmtId="169" fontId="1" fillId="2" borderId="1" xfId="0" applyNumberFormat="1" applyFont="1" applyFill="1" applyBorder="1" applyAlignment="1">
      <alignment vertical="center"/>
    </xf>
    <xf numFmtId="3" fontId="0" fillId="0" borderId="68" xfId="15" applyNumberFormat="1" applyFill="1" applyBorder="1" applyAlignment="1">
      <alignment vertical="center"/>
    </xf>
    <xf numFmtId="3" fontId="0" fillId="0" borderId="1" xfId="15" applyNumberFormat="1" applyFill="1" applyBorder="1" applyAlignment="1">
      <alignment vertical="center"/>
    </xf>
    <xf numFmtId="3" fontId="0" fillId="0" borderId="20" xfId="15" applyNumberFormat="1" applyFill="1" applyBorder="1" applyAlignment="1">
      <alignment horizontal="right" vertical="center" wrapText="1"/>
    </xf>
    <xf numFmtId="179" fontId="0" fillId="0" borderId="85" xfId="0" applyNumberFormat="1" applyFill="1" applyBorder="1" applyAlignment="1">
      <alignment vertical="center"/>
    </xf>
    <xf numFmtId="179" fontId="0" fillId="0" borderId="68" xfId="0" applyNumberFormat="1" applyFill="1" applyBorder="1" applyAlignment="1">
      <alignment vertical="center"/>
    </xf>
    <xf numFmtId="179" fontId="0" fillId="0" borderId="68" xfId="15" applyNumberFormat="1" applyFill="1" applyBorder="1" applyAlignment="1">
      <alignment vertical="center"/>
    </xf>
    <xf numFmtId="179" fontId="0" fillId="0" borderId="1" xfId="0" applyNumberFormat="1" applyFill="1" applyBorder="1" applyAlignment="1">
      <alignment vertical="center"/>
    </xf>
    <xf numFmtId="179" fontId="0" fillId="0" borderId="1" xfId="15" applyNumberFormat="1" applyFill="1" applyBorder="1" applyAlignment="1">
      <alignment vertical="center"/>
    </xf>
    <xf numFmtId="179" fontId="0" fillId="0" borderId="20" xfId="15" applyNumberFormat="1" applyFill="1" applyBorder="1" applyAlignment="1">
      <alignment horizontal="right" wrapText="1"/>
    </xf>
    <xf numFmtId="179" fontId="0" fillId="0" borderId="20" xfId="0" applyNumberFormat="1" applyFill="1" applyBorder="1" applyAlignment="1">
      <alignment vertical="center"/>
    </xf>
    <xf numFmtId="179" fontId="0" fillId="0" borderId="20" xfId="15" applyNumberFormat="1" applyFill="1" applyBorder="1" applyAlignment="1">
      <alignment horizontal="right" vertical="center" wrapText="1"/>
    </xf>
    <xf numFmtId="179" fontId="1" fillId="2" borderId="1" xfId="0" applyNumberFormat="1" applyFont="1" applyFill="1" applyBorder="1" applyAlignment="1">
      <alignment vertical="center"/>
    </xf>
    <xf numFmtId="179" fontId="0" fillId="0" borderId="2" xfId="0" applyNumberFormat="1" applyFill="1" applyBorder="1" applyAlignment="1">
      <alignment vertical="center"/>
    </xf>
    <xf numFmtId="3" fontId="0" fillId="0" borderId="1" xfId="15" applyNumberFormat="1" applyFont="1" applyFill="1" applyBorder="1" applyAlignment="1">
      <alignment vertical="center"/>
    </xf>
    <xf numFmtId="170" fontId="0" fillId="0" borderId="1" xfId="15" applyNumberFormat="1" applyFont="1" applyFill="1" applyBorder="1" applyAlignment="1">
      <alignment vertical="center"/>
    </xf>
    <xf numFmtId="44" fontId="0" fillId="0" borderId="68" xfId="15" applyNumberFormat="1" applyFill="1" applyBorder="1" applyAlignment="1">
      <alignment vertical="center"/>
    </xf>
    <xf numFmtId="44" fontId="0" fillId="0" borderId="1" xfId="15" applyNumberFormat="1" applyFill="1" applyBorder="1" applyAlignment="1">
      <alignment vertical="center"/>
    </xf>
    <xf numFmtId="44" fontId="0" fillId="0" borderId="1" xfId="15" applyNumberFormat="1" applyFont="1" applyFill="1" applyBorder="1" applyAlignment="1">
      <alignment vertical="center"/>
    </xf>
    <xf numFmtId="44" fontId="1" fillId="2" borderId="1" xfId="15" applyNumberFormat="1" applyFont="1" applyFill="1" applyBorder="1" applyAlignment="1">
      <alignment vertical="center"/>
    </xf>
    <xf numFmtId="182" fontId="0" fillId="0" borderId="68" xfId="17" applyNumberFormat="1" applyFill="1" applyBorder="1" applyAlignment="1">
      <alignment vertical="center"/>
    </xf>
    <xf numFmtId="182" fontId="0" fillId="0" borderId="1" xfId="17" applyNumberFormat="1" applyFill="1" applyBorder="1" applyAlignment="1">
      <alignment vertical="center"/>
    </xf>
    <xf numFmtId="182" fontId="1" fillId="2" borderId="1" xfId="17" applyNumberFormat="1" applyFont="1" applyFill="1" applyBorder="1" applyAlignment="1">
      <alignment vertical="center"/>
    </xf>
    <xf numFmtId="0" fontId="1" fillId="2" borderId="15"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2" fillId="2" borderId="2" xfId="2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 xfId="0" applyFont="1" applyFill="1" applyBorder="1" applyAlignment="1">
      <alignment vertical="center" wrapText="1"/>
    </xf>
    <xf numFmtId="170" fontId="1" fillId="2" borderId="2" xfId="15" applyNumberFormat="1" applyFont="1" applyFill="1" applyBorder="1" applyAlignment="1">
      <alignment vertical="center" wrapText="1"/>
    </xf>
    <xf numFmtId="170" fontId="0" fillId="0" borderId="22" xfId="15" applyNumberFormat="1" applyFill="1" applyBorder="1" applyAlignment="1">
      <alignment vertical="center" wrapText="1"/>
    </xf>
    <xf numFmtId="170" fontId="0" fillId="0" borderId="22" xfId="15" applyNumberFormat="1" applyFont="1" applyFill="1" applyBorder="1" applyAlignment="1">
      <alignment vertical="center" wrapText="1"/>
    </xf>
    <xf numFmtId="171" fontId="0" fillId="0" borderId="22" xfId="15" applyNumberFormat="1" applyFont="1" applyFill="1" applyBorder="1" applyAlignment="1">
      <alignment vertical="center" wrapText="1"/>
    </xf>
    <xf numFmtId="182" fontId="0" fillId="0" borderId="2" xfId="17" applyNumberFormat="1" applyFill="1" applyBorder="1" applyAlignment="1">
      <alignment vertical="center" wrapText="1"/>
    </xf>
    <xf numFmtId="182" fontId="0" fillId="0" borderId="2" xfId="17" applyNumberFormat="1" applyFont="1" applyFill="1" applyBorder="1" applyAlignment="1">
      <alignment vertical="center" wrapText="1"/>
    </xf>
    <xf numFmtId="182" fontId="1" fillId="2" borderId="2" xfId="17" applyNumberFormat="1" applyFont="1" applyFill="1" applyBorder="1" applyAlignment="1">
      <alignment vertical="center" wrapText="1"/>
    </xf>
    <xf numFmtId="182" fontId="0" fillId="0" borderId="22" xfId="17" applyNumberFormat="1" applyFill="1" applyBorder="1" applyAlignment="1">
      <alignment vertical="center" wrapText="1"/>
    </xf>
    <xf numFmtId="182" fontId="0" fillId="0" borderId="22" xfId="17" applyNumberFormat="1" applyFont="1" applyFill="1" applyBorder="1" applyAlignment="1">
      <alignment vertical="center" wrapText="1"/>
    </xf>
    <xf numFmtId="7" fontId="0" fillId="0" borderId="1" xfId="17" applyNumberFormat="1" applyFill="1" applyBorder="1" applyAlignment="1">
      <alignment vertical="center" wrapText="1"/>
    </xf>
    <xf numFmtId="7" fontId="1" fillId="2" borderId="1" xfId="17" applyNumberFormat="1" applyFont="1" applyFill="1" applyBorder="1" applyAlignment="1">
      <alignment vertical="center" wrapText="1"/>
    </xf>
    <xf numFmtId="7" fontId="0" fillId="0" borderId="11" xfId="17" applyNumberFormat="1" applyFill="1" applyBorder="1" applyAlignment="1">
      <alignment vertical="center" wrapText="1"/>
    </xf>
    <xf numFmtId="7" fontId="1" fillId="2" borderId="1" xfId="17" applyNumberFormat="1" applyFont="1" applyFill="1" applyBorder="1" applyAlignment="1">
      <alignment vertical="center"/>
    </xf>
    <xf numFmtId="179" fontId="0" fillId="0" borderId="1" xfId="15" applyNumberFormat="1" applyFill="1" applyBorder="1" applyAlignment="1">
      <alignment vertical="center" wrapText="1"/>
    </xf>
    <xf numFmtId="179" fontId="1" fillId="2" borderId="1" xfId="15" applyNumberFormat="1" applyFont="1" applyFill="1" applyBorder="1" applyAlignment="1">
      <alignment vertical="center" wrapText="1"/>
    </xf>
    <xf numFmtId="179" fontId="0" fillId="0" borderId="11" xfId="15" applyNumberFormat="1" applyFill="1" applyBorder="1" applyAlignment="1">
      <alignment vertical="center" wrapText="1"/>
    </xf>
    <xf numFmtId="179" fontId="1" fillId="2" borderId="1" xfId="15" applyNumberFormat="1" applyFont="1" applyFill="1" applyBorder="1" applyAlignment="1">
      <alignment vertical="center"/>
    </xf>
    <xf numFmtId="0" fontId="1" fillId="2" borderId="15" xfId="0" applyFont="1" applyFill="1" applyBorder="1" applyAlignment="1">
      <alignment vertical="center" wrapText="1"/>
    </xf>
    <xf numFmtId="43" fontId="1" fillId="2" borderId="15" xfId="15" applyFont="1" applyFill="1" applyBorder="1" applyAlignment="1">
      <alignment vertical="center" wrapText="1"/>
    </xf>
    <xf numFmtId="171" fontId="1" fillId="2" borderId="15" xfId="15" applyNumberFormat="1" applyFont="1" applyFill="1" applyBorder="1" applyAlignment="1">
      <alignment horizontal="left" vertical="center" wrapText="1"/>
    </xf>
    <xf numFmtId="43" fontId="1" fillId="2" borderId="15" xfId="15" applyFont="1" applyFill="1" applyBorder="1" applyAlignment="1">
      <alignment horizontal="left" vertical="center" wrapText="1"/>
    </xf>
    <xf numFmtId="170" fontId="1" fillId="2" borderId="15" xfId="15" applyNumberFormat="1" applyFont="1" applyFill="1" applyBorder="1" applyAlignment="1">
      <alignment horizontal="left" vertical="center" wrapText="1"/>
    </xf>
    <xf numFmtId="170" fontId="1" fillId="2" borderId="15" xfId="15" applyNumberFormat="1" applyFont="1" applyFill="1" applyBorder="1" applyAlignment="1">
      <alignment vertical="center" wrapText="1"/>
    </xf>
    <xf numFmtId="179" fontId="0" fillId="0" borderId="34" xfId="15" applyNumberFormat="1" applyFont="1" applyFill="1" applyBorder="1" applyAlignment="1">
      <alignment horizontal="left" vertical="center" wrapText="1"/>
    </xf>
    <xf numFmtId="179" fontId="0" fillId="0" borderId="15" xfId="15" applyNumberFormat="1" applyFont="1" applyFill="1" applyBorder="1" applyAlignment="1">
      <alignment horizontal="left" vertical="center" wrapText="1"/>
    </xf>
    <xf numFmtId="179" fontId="1" fillId="2" borderId="15" xfId="15" applyNumberFormat="1" applyFont="1" applyFill="1" applyBorder="1" applyAlignment="1">
      <alignment horizontal="left" vertical="center" wrapText="1"/>
    </xf>
    <xf numFmtId="43" fontId="1" fillId="2" borderId="15" xfId="15" applyNumberFormat="1" applyFont="1" applyFill="1" applyBorder="1" applyAlignment="1">
      <alignment horizontal="left" vertical="center" wrapText="1"/>
    </xf>
    <xf numFmtId="171" fontId="0" fillId="0" borderId="34" xfId="15" applyNumberFormat="1" applyFont="1" applyFill="1" applyBorder="1" applyAlignment="1">
      <alignment horizontal="right" vertical="center" wrapText="1"/>
    </xf>
    <xf numFmtId="171" fontId="0" fillId="0" borderId="15" xfId="15" applyNumberFormat="1" applyFont="1" applyFill="1" applyBorder="1" applyAlignment="1">
      <alignment horizontal="right" vertical="center" wrapText="1"/>
    </xf>
    <xf numFmtId="179" fontId="1" fillId="2" borderId="15" xfId="15" applyNumberFormat="1" applyFont="1" applyFill="1" applyBorder="1" applyAlignment="1">
      <alignment horizontal="right" vertical="center" wrapText="1"/>
    </xf>
    <xf numFmtId="171" fontId="0" fillId="0" borderId="34" xfId="15" applyNumberFormat="1" applyFill="1" applyBorder="1" applyAlignment="1">
      <alignment horizontal="left" vertical="center" wrapText="1"/>
    </xf>
    <xf numFmtId="171" fontId="0" fillId="0" borderId="15" xfId="15" applyNumberFormat="1" applyFill="1" applyBorder="1" applyAlignment="1">
      <alignment horizontal="left" vertical="center" wrapText="1"/>
    </xf>
    <xf numFmtId="171" fontId="0" fillId="0" borderId="15" xfId="15" applyNumberFormat="1" applyFont="1" applyFill="1" applyBorder="1" applyAlignment="1">
      <alignment horizontal="left" vertical="center" wrapText="1"/>
    </xf>
    <xf numFmtId="171" fontId="0" fillId="0" borderId="11" xfId="15" applyNumberFormat="1" applyFont="1" applyFill="1" applyBorder="1" applyAlignment="1">
      <alignment vertical="center"/>
    </xf>
    <xf numFmtId="171" fontId="0" fillId="0" borderId="22" xfId="15" applyNumberFormat="1" applyFill="1" applyBorder="1" applyAlignment="1">
      <alignment vertical="center"/>
    </xf>
    <xf numFmtId="171" fontId="0" fillId="0" borderId="22" xfId="15" applyNumberFormat="1" applyFont="1" applyFill="1" applyBorder="1" applyAlignment="1">
      <alignment vertical="center"/>
    </xf>
    <xf numFmtId="171" fontId="0" fillId="2" borderId="73" xfId="15" applyNumberFormat="1" applyFill="1" applyBorder="1" applyAlignment="1">
      <alignment vertical="center"/>
    </xf>
    <xf numFmtId="171" fontId="0" fillId="0" borderId="11" xfId="15" applyNumberFormat="1" applyFill="1" applyBorder="1" applyAlignment="1">
      <alignment vertical="center"/>
    </xf>
    <xf numFmtId="171" fontId="0" fillId="0" borderId="63" xfId="15" applyNumberFormat="1" applyFont="1" applyFill="1" applyBorder="1" applyAlignment="1">
      <alignment vertical="center"/>
    </xf>
    <xf numFmtId="171" fontId="0" fillId="0" borderId="63" xfId="15" applyNumberFormat="1" applyFill="1" applyBorder="1" applyAlignment="1">
      <alignment vertical="center"/>
    </xf>
    <xf numFmtId="171" fontId="0" fillId="2" borderId="73" xfId="15" applyNumberFormat="1" applyFont="1" applyFill="1" applyBorder="1" applyAlignment="1">
      <alignment vertical="center"/>
    </xf>
    <xf numFmtId="0" fontId="2" fillId="0" borderId="11" xfId="20" applyFill="1" applyBorder="1" applyAlignment="1">
      <alignment horizontal="left" vertical="center" wrapText="1"/>
    </xf>
    <xf numFmtId="0" fontId="0" fillId="0" borderId="11" xfId="0" applyFill="1" applyBorder="1" applyAlignment="1">
      <alignment horizontal="left" vertical="center" wrapText="1"/>
    </xf>
    <xf numFmtId="0" fontId="0" fillId="2" borderId="1" xfId="0" applyFill="1" applyBorder="1" applyAlignment="1">
      <alignment vertical="center"/>
    </xf>
    <xf numFmtId="171" fontId="0" fillId="2" borderId="1" xfId="0" applyNumberFormat="1" applyFill="1" applyBorder="1" applyAlignment="1">
      <alignment vertical="center"/>
    </xf>
    <xf numFmtId="0" fontId="1" fillId="0" borderId="18" xfId="0" applyFont="1" applyFill="1" applyBorder="1" applyAlignment="1">
      <alignment horizontal="left" vertical="center" wrapText="1"/>
    </xf>
    <xf numFmtId="0" fontId="1" fillId="2" borderId="1" xfId="0" applyFont="1" applyFill="1" applyBorder="1" applyAlignment="1">
      <alignment horizontal="center" vertical="center" wrapText="1"/>
    </xf>
    <xf numFmtId="175" fontId="1" fillId="2" borderId="2" xfId="15" applyNumberFormat="1" applyFont="1" applyFill="1" applyBorder="1" applyAlignment="1">
      <alignment vertical="center" wrapText="1"/>
    </xf>
    <xf numFmtId="171" fontId="7" fillId="0" borderId="0" xfId="15" applyNumberFormat="1" applyFont="1" applyFill="1" applyAlignment="1">
      <alignment vertical="center"/>
    </xf>
    <xf numFmtId="171" fontId="0" fillId="0" borderId="0" xfId="15" applyNumberFormat="1" applyFill="1" applyAlignment="1">
      <alignment vertical="center"/>
    </xf>
    <xf numFmtId="171" fontId="1" fillId="2" borderId="17" xfId="15" applyNumberFormat="1" applyFont="1" applyFill="1" applyBorder="1" applyAlignment="1">
      <alignment horizontal="centerContinuous" vertical="center" wrapText="1"/>
    </xf>
    <xf numFmtId="171" fontId="1" fillId="2" borderId="49" xfId="15" applyNumberFormat="1" applyFont="1" applyFill="1" applyBorder="1" applyAlignment="1">
      <alignment horizontal="center" vertical="center" wrapText="1"/>
    </xf>
    <xf numFmtId="171" fontId="1" fillId="2" borderId="50" xfId="15" applyNumberFormat="1" applyFont="1" applyFill="1" applyBorder="1" applyAlignment="1">
      <alignment horizontal="center" vertical="center" wrapText="1"/>
    </xf>
    <xf numFmtId="171" fontId="1" fillId="2" borderId="51" xfId="15" applyNumberFormat="1" applyFont="1" applyFill="1" applyBorder="1" applyAlignment="1">
      <alignment horizontal="center" vertical="center" wrapText="1"/>
    </xf>
    <xf numFmtId="171" fontId="1" fillId="2" borderId="16" xfId="15" applyNumberFormat="1" applyFont="1" applyFill="1" applyBorder="1" applyAlignment="1">
      <alignment horizontal="centerContinuous" vertical="center" wrapText="1"/>
    </xf>
    <xf numFmtId="171" fontId="1" fillId="2" borderId="52" xfId="15" applyNumberFormat="1" applyFont="1" applyFill="1" applyBorder="1" applyAlignment="1">
      <alignment horizontal="center" vertical="center" wrapText="1"/>
    </xf>
    <xf numFmtId="171" fontId="1" fillId="2" borderId="53" xfId="15" applyNumberFormat="1" applyFont="1" applyFill="1" applyBorder="1" applyAlignment="1">
      <alignment horizontal="center" vertical="center" wrapText="1"/>
    </xf>
    <xf numFmtId="171" fontId="1" fillId="2" borderId="86" xfId="15"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2" fillId="0" borderId="0" xfId="20" applyFont="1" applyFill="1" applyBorder="1" applyAlignment="1">
      <alignment horizontal="center" vertical="center" wrapText="1"/>
    </xf>
    <xf numFmtId="0" fontId="1" fillId="0" borderId="0" xfId="0" applyFont="1" applyFill="1" applyBorder="1" applyAlignment="1">
      <alignment vertical="center" wrapText="1"/>
    </xf>
    <xf numFmtId="0" fontId="12" fillId="0" borderId="0" xfId="20" applyFont="1" applyFill="1" applyBorder="1" applyAlignment="1">
      <alignment vertical="center" wrapText="1"/>
    </xf>
    <xf numFmtId="171" fontId="1" fillId="0" borderId="0" xfId="15" applyNumberFormat="1" applyFont="1" applyFill="1" applyBorder="1" applyAlignment="1">
      <alignment vertical="center" wrapText="1"/>
    </xf>
    <xf numFmtId="175" fontId="1" fillId="0" borderId="0" xfId="15" applyNumberFormat="1" applyFont="1" applyFill="1" applyBorder="1" applyAlignment="1">
      <alignment vertical="center" wrapText="1"/>
    </xf>
    <xf numFmtId="0" fontId="1" fillId="0" borderId="78" xfId="0" applyFont="1" applyFill="1" applyBorder="1" applyAlignment="1">
      <alignment vertical="center" wrapText="1"/>
    </xf>
    <xf numFmtId="0" fontId="1" fillId="2" borderId="87" xfId="0" applyFont="1" applyFill="1" applyBorder="1" applyAlignment="1">
      <alignment horizontal="left" vertical="center"/>
    </xf>
    <xf numFmtId="0" fontId="1" fillId="2" borderId="87" xfId="0" applyFont="1" applyFill="1" applyBorder="1" applyAlignment="1">
      <alignment horizontal="left" vertical="center" wrapText="1"/>
    </xf>
    <xf numFmtId="0" fontId="12" fillId="2" borderId="1" xfId="20" applyFont="1" applyFill="1" applyBorder="1" applyAlignment="1">
      <alignment horizontal="center" vertical="center" wrapText="1"/>
    </xf>
    <xf numFmtId="0" fontId="12" fillId="2" borderId="1" xfId="20" applyFont="1" applyFill="1" applyBorder="1" applyAlignment="1">
      <alignment vertical="center" wrapText="1"/>
    </xf>
    <xf numFmtId="171" fontId="1" fillId="2" borderId="1" xfId="15" applyNumberFormat="1" applyFont="1" applyFill="1" applyBorder="1" applyAlignment="1">
      <alignment vertical="center" wrapText="1"/>
    </xf>
    <xf numFmtId="175" fontId="1" fillId="2" borderId="1" xfId="15" applyNumberFormat="1" applyFont="1" applyFill="1" applyBorder="1" applyAlignment="1">
      <alignment vertical="center" wrapText="1"/>
    </xf>
    <xf numFmtId="169" fontId="1" fillId="2" borderId="1" xfId="0" applyNumberFormat="1" applyFont="1" applyFill="1" applyBorder="1" applyAlignment="1">
      <alignment vertical="center" wrapText="1"/>
    </xf>
    <xf numFmtId="0" fontId="0" fillId="0" borderId="88"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4" fillId="2" borderId="1" xfId="0" applyFont="1" applyFill="1" applyBorder="1" applyAlignment="1">
      <alignment vertical="center" wrapText="1"/>
    </xf>
    <xf numFmtId="169" fontId="1" fillId="2" borderId="2" xfId="0" applyNumberFormat="1" applyFont="1" applyFill="1" applyBorder="1" applyAlignment="1">
      <alignment vertical="center"/>
    </xf>
    <xf numFmtId="0" fontId="0" fillId="0" borderId="90" xfId="0" applyFont="1" applyFill="1" applyBorder="1" applyAlignment="1">
      <alignment horizontal="left" vertical="center" wrapText="1"/>
    </xf>
    <xf numFmtId="0" fontId="1" fillId="0" borderId="91" xfId="0" applyFont="1" applyFill="1" applyBorder="1" applyAlignment="1">
      <alignment horizontal="left" vertical="center"/>
    </xf>
    <xf numFmtId="0" fontId="1" fillId="0" borderId="91" xfId="0" applyFont="1" applyFill="1" applyBorder="1" applyAlignment="1">
      <alignment horizontal="left" vertical="center" wrapText="1"/>
    </xf>
    <xf numFmtId="0" fontId="1" fillId="0" borderId="87" xfId="0" applyFont="1" applyFill="1" applyBorder="1" applyAlignment="1">
      <alignment vertical="center" wrapText="1"/>
    </xf>
    <xf numFmtId="0" fontId="1" fillId="0" borderId="87" xfId="0" applyFont="1" applyFill="1" applyBorder="1" applyAlignment="1">
      <alignment horizontal="left" vertical="center" wrapText="1"/>
    </xf>
    <xf numFmtId="0" fontId="12" fillId="0" borderId="87" xfId="20" applyFont="1" applyFill="1" applyBorder="1" applyAlignment="1">
      <alignment horizontal="left" vertical="center" wrapText="1"/>
    </xf>
    <xf numFmtId="179" fontId="1" fillId="0" borderId="87" xfId="0" applyNumberFormat="1" applyFont="1" applyFill="1" applyBorder="1" applyAlignment="1">
      <alignment vertical="center"/>
    </xf>
    <xf numFmtId="3" fontId="1" fillId="0" borderId="87" xfId="0" applyNumberFormat="1" applyFont="1" applyFill="1" applyBorder="1" applyAlignment="1">
      <alignment vertical="center"/>
    </xf>
    <xf numFmtId="169" fontId="1" fillId="0" borderId="87" xfId="0" applyNumberFormat="1" applyFont="1" applyFill="1" applyBorder="1" applyAlignment="1">
      <alignment vertical="center"/>
    </xf>
    <xf numFmtId="44" fontId="1" fillId="0" borderId="87" xfId="15" applyNumberFormat="1" applyFont="1" applyFill="1" applyBorder="1" applyAlignment="1">
      <alignment vertical="center"/>
    </xf>
    <xf numFmtId="182" fontId="1" fillId="0" borderId="87" xfId="17" applyNumberFormat="1" applyFont="1" applyFill="1" applyBorder="1" applyAlignment="1">
      <alignment vertical="center"/>
    </xf>
    <xf numFmtId="0" fontId="0" fillId="0" borderId="92" xfId="0" applyFont="1" applyFill="1" applyBorder="1" applyAlignment="1">
      <alignment horizontal="left" vertical="center" wrapText="1"/>
    </xf>
    <xf numFmtId="0" fontId="0" fillId="0" borderId="20" xfId="0" applyFill="1" applyBorder="1" applyAlignment="1">
      <alignment vertical="center"/>
    </xf>
    <xf numFmtId="0" fontId="0" fillId="0" borderId="26" xfId="0" applyFill="1" applyBorder="1" applyAlignment="1">
      <alignment vertical="center" wrapText="1"/>
    </xf>
    <xf numFmtId="170" fontId="0" fillId="0" borderId="26" xfId="15" applyNumberFormat="1" applyFont="1" applyFill="1" applyBorder="1" applyAlignment="1">
      <alignment horizontal="left" vertical="center" wrapText="1"/>
    </xf>
    <xf numFmtId="171" fontId="0" fillId="0" borderId="1" xfId="15" applyNumberFormat="1" applyFill="1" applyBorder="1" applyAlignment="1">
      <alignment vertical="center"/>
    </xf>
    <xf numFmtId="0" fontId="0" fillId="0" borderId="9"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Fill="1" applyBorder="1" applyAlignment="1">
      <alignment horizontal="center" vertical="center" wrapText="1"/>
    </xf>
    <xf numFmtId="169" fontId="0" fillId="0" borderId="0" xfId="0" applyNumberFormat="1" applyFill="1" applyBorder="1" applyAlignment="1">
      <alignment vertical="center" wrapText="1"/>
    </xf>
    <xf numFmtId="0" fontId="1" fillId="0" borderId="57" xfId="0" applyFont="1" applyFill="1" applyBorder="1" applyAlignment="1">
      <alignment horizontal="left" vertical="center" wrapText="1"/>
    </xf>
    <xf numFmtId="0" fontId="1" fillId="0" borderId="8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 xfId="0" applyFont="1" applyFill="1" applyBorder="1" applyAlignment="1">
      <alignmen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4" xfId="0" applyFill="1" applyBorder="1" applyAlignment="1">
      <alignment horizontal="center" vertical="center" wrapText="1"/>
    </xf>
    <xf numFmtId="171" fontId="0" fillId="5" borderId="1" xfId="15" applyNumberFormat="1" applyFill="1" applyBorder="1" applyAlignment="1">
      <alignment vertical="center" wrapText="1"/>
    </xf>
    <xf numFmtId="171" fontId="0" fillId="5" borderId="1" xfId="15" applyNumberFormat="1" applyFont="1" applyFill="1" applyBorder="1" applyAlignment="1">
      <alignment vertical="center" wrapText="1"/>
    </xf>
    <xf numFmtId="170" fontId="0" fillId="5" borderId="1" xfId="15" applyNumberFormat="1" applyFill="1" applyBorder="1" applyAlignment="1">
      <alignment vertical="center" wrapText="1"/>
    </xf>
    <xf numFmtId="171" fontId="0" fillId="4" borderId="1" xfId="15" applyNumberFormat="1" applyFill="1" applyBorder="1" applyAlignment="1">
      <alignment vertical="center" wrapText="1"/>
    </xf>
    <xf numFmtId="171" fontId="0" fillId="4" borderId="1" xfId="15" applyNumberFormat="1" applyFont="1" applyFill="1" applyBorder="1" applyAlignment="1">
      <alignment vertical="center" wrapText="1"/>
    </xf>
    <xf numFmtId="0" fontId="0" fillId="5" borderId="1" xfId="0" applyFill="1" applyBorder="1" applyAlignment="1">
      <alignment horizontal="center" vertical="center" wrapText="1"/>
    </xf>
    <xf numFmtId="0" fontId="0" fillId="5" borderId="1" xfId="0" applyFont="1" applyFill="1" applyBorder="1" applyAlignment="1">
      <alignment horizontal="center" vertical="center" wrapText="1"/>
    </xf>
    <xf numFmtId="0" fontId="2" fillId="5" borderId="1" xfId="20" applyFill="1" applyBorder="1" applyAlignment="1">
      <alignment horizontal="center" vertical="center" wrapText="1"/>
    </xf>
    <xf numFmtId="0" fontId="0" fillId="5" borderId="0" xfId="0" applyFill="1" applyAlignment="1">
      <alignment vertical="center" wrapText="1"/>
    </xf>
    <xf numFmtId="0" fontId="2" fillId="5" borderId="1" xfId="20" applyFont="1" applyFill="1" applyBorder="1" applyAlignment="1">
      <alignment vertical="center" wrapText="1"/>
    </xf>
    <xf numFmtId="0" fontId="2" fillId="5" borderId="1" xfId="20" applyFill="1" applyBorder="1" applyAlignment="1">
      <alignment vertical="center" wrapText="1"/>
    </xf>
    <xf numFmtId="0" fontId="0" fillId="5" borderId="20" xfId="0" applyFill="1" applyBorder="1" applyAlignment="1">
      <alignment vertical="center" wrapText="1"/>
    </xf>
    <xf numFmtId="0" fontId="0" fillId="4" borderId="19" xfId="0" applyFont="1" applyFill="1" applyBorder="1" applyAlignment="1">
      <alignment horizontal="left" vertical="center" wrapText="1"/>
    </xf>
    <xf numFmtId="0" fontId="0" fillId="4"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2" fillId="4" borderId="1" xfId="20" applyFill="1" applyBorder="1" applyAlignment="1">
      <alignment horizontal="center" vertical="center" wrapText="1"/>
    </xf>
    <xf numFmtId="0" fontId="8" fillId="4" borderId="1" xfId="0" applyFont="1" applyFill="1" applyBorder="1" applyAlignment="1">
      <alignment vertical="center" wrapText="1"/>
    </xf>
    <xf numFmtId="0" fontId="0" fillId="4" borderId="20" xfId="0" applyFill="1" applyBorder="1" applyAlignment="1">
      <alignment vertical="center" wrapText="1"/>
    </xf>
    <xf numFmtId="175" fontId="0" fillId="4" borderId="1" xfId="15" applyNumberFormat="1" applyFill="1" applyBorder="1" applyAlignment="1">
      <alignment vertical="center" wrapText="1"/>
    </xf>
    <xf numFmtId="175" fontId="0" fillId="5" borderId="1" xfId="15" applyNumberFormat="1" applyFill="1" applyBorder="1" applyAlignment="1">
      <alignment vertical="center" wrapText="1"/>
    </xf>
    <xf numFmtId="49" fontId="0" fillId="5" borderId="1" xfId="0" applyNumberFormat="1" applyFill="1" applyBorder="1" applyAlignment="1">
      <alignment vertical="center" wrapText="1"/>
    </xf>
    <xf numFmtId="49" fontId="0" fillId="4" borderId="1" xfId="0" applyNumberFormat="1" applyFill="1" applyBorder="1" applyAlignment="1">
      <alignment vertical="center" wrapText="1"/>
    </xf>
    <xf numFmtId="0" fontId="2" fillId="4" borderId="1" xfId="20" applyFill="1" applyBorder="1" applyAlignment="1">
      <alignment vertical="center" wrapText="1"/>
    </xf>
    <xf numFmtId="0" fontId="6" fillId="2" borderId="1" xfId="0" applyFont="1" applyFill="1" applyBorder="1" applyAlignment="1">
      <alignment horizontal="center" vertical="center" textRotation="255" wrapText="1"/>
    </xf>
    <xf numFmtId="0" fontId="6" fillId="2" borderId="1" xfId="0" applyFont="1" applyFill="1" applyBorder="1" applyAlignment="1">
      <alignment horizontal="center" vertical="center" wrapText="1"/>
    </xf>
    <xf numFmtId="3" fontId="1" fillId="2" borderId="1" xfId="0" applyNumberFormat="1" applyFont="1" applyFill="1" applyBorder="1" applyAlignment="1">
      <alignment vertical="center" wrapText="1"/>
    </xf>
    <xf numFmtId="3" fontId="1" fillId="2" borderId="16" xfId="0" applyNumberFormat="1" applyFont="1" applyFill="1" applyBorder="1" applyAlignment="1">
      <alignment horizontal="centerContinuous" vertical="center" wrapText="1"/>
    </xf>
    <xf numFmtId="3" fontId="1" fillId="2" borderId="69" xfId="0" applyNumberFormat="1" applyFont="1" applyFill="1" applyBorder="1" applyAlignment="1">
      <alignment horizontal="center" vertical="center" wrapText="1"/>
    </xf>
    <xf numFmtId="43" fontId="0" fillId="0" borderId="1" xfId="15" applyFill="1" applyBorder="1" applyAlignment="1">
      <alignment vertical="center" wrapText="1"/>
    </xf>
    <xf numFmtId="0" fontId="1" fillId="2" borderId="93" xfId="0" applyFont="1" applyFill="1" applyBorder="1" applyAlignment="1">
      <alignment horizontal="center" vertical="center" wrapText="1"/>
    </xf>
    <xf numFmtId="4" fontId="0" fillId="0" borderId="0" xfId="0" applyNumberFormat="1" applyFill="1" applyAlignment="1">
      <alignment vertical="center"/>
    </xf>
    <xf numFmtId="4" fontId="1" fillId="2" borderId="16" xfId="0" applyNumberFormat="1" applyFont="1" applyFill="1" applyBorder="1" applyAlignment="1">
      <alignment horizontal="centerContinuous" vertical="center" wrapText="1"/>
    </xf>
    <xf numFmtId="169" fontId="1" fillId="2" borderId="16" xfId="0" applyNumberFormat="1" applyFont="1" applyFill="1" applyBorder="1" applyAlignment="1">
      <alignment horizontal="centerContinuous" vertical="center" wrapText="1"/>
    </xf>
    <xf numFmtId="169" fontId="1" fillId="2" borderId="56" xfId="0" applyNumberFormat="1" applyFont="1" applyFill="1" applyBorder="1" applyAlignment="1">
      <alignment horizontal="center" vertical="center" wrapText="1"/>
    </xf>
    <xf numFmtId="169" fontId="0" fillId="0" borderId="2" xfId="15" applyNumberFormat="1" applyFill="1" applyBorder="1" applyAlignment="1">
      <alignment vertical="center" wrapText="1"/>
    </xf>
    <xf numFmtId="169" fontId="1" fillId="2" borderId="2" xfId="15" applyNumberFormat="1" applyFont="1" applyFill="1" applyBorder="1" applyAlignment="1">
      <alignment vertical="center" wrapText="1"/>
    </xf>
    <xf numFmtId="169" fontId="1" fillId="0" borderId="0" xfId="15" applyNumberFormat="1" applyFont="1" applyFill="1" applyBorder="1" applyAlignment="1">
      <alignment vertical="center" wrapText="1"/>
    </xf>
    <xf numFmtId="169" fontId="1" fillId="2" borderId="1" xfId="15" applyNumberFormat="1" applyFont="1" applyFill="1" applyBorder="1" applyAlignment="1">
      <alignment vertical="center" wrapText="1"/>
    </xf>
    <xf numFmtId="169" fontId="1" fillId="2" borderId="55" xfId="0" applyNumberFormat="1" applyFont="1" applyFill="1" applyBorder="1" applyAlignment="1">
      <alignment horizontal="center" vertical="center" wrapText="1"/>
    </xf>
    <xf numFmtId="169" fontId="0" fillId="0" borderId="1" xfId="15" applyNumberFormat="1" applyFill="1" applyBorder="1" applyAlignment="1">
      <alignment vertical="center" wrapText="1"/>
    </xf>
    <xf numFmtId="4" fontId="1" fillId="2" borderId="54" xfId="0" applyNumberFormat="1" applyFont="1" applyFill="1" applyBorder="1" applyAlignment="1">
      <alignment horizontal="center" vertical="center" wrapText="1"/>
    </xf>
    <xf numFmtId="4" fontId="0" fillId="0" borderId="2" xfId="0" applyNumberFormat="1" applyFill="1" applyBorder="1" applyAlignment="1">
      <alignment vertical="center" wrapText="1"/>
    </xf>
    <xf numFmtId="4" fontId="0" fillId="0" borderId="1" xfId="0" applyNumberFormat="1" applyFill="1" applyBorder="1" applyAlignment="1">
      <alignment vertical="center" wrapText="1"/>
    </xf>
    <xf numFmtId="4" fontId="1" fillId="2" borderId="1" xfId="0" applyNumberFormat="1" applyFont="1" applyFill="1" applyBorder="1" applyAlignment="1">
      <alignment vertical="center" wrapText="1"/>
    </xf>
    <xf numFmtId="0" fontId="1" fillId="2" borderId="59" xfId="0" applyFont="1" applyFill="1" applyBorder="1" applyAlignment="1">
      <alignment horizontal="center" vertical="center" wrapText="1"/>
    </xf>
    <xf numFmtId="4" fontId="1" fillId="2" borderId="94"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wrapText="1"/>
    </xf>
    <xf numFmtId="4" fontId="0" fillId="4" borderId="1" xfId="0" applyNumberFormat="1" applyFill="1" applyBorder="1" applyAlignment="1">
      <alignment vertical="center" wrapText="1"/>
    </xf>
    <xf numFmtId="4" fontId="0" fillId="5" borderId="1" xfId="0" applyNumberFormat="1" applyFill="1" applyBorder="1" applyAlignment="1">
      <alignment vertical="center" wrapText="1"/>
    </xf>
    <xf numFmtId="4" fontId="0" fillId="4" borderId="2" xfId="15" applyNumberFormat="1" applyFill="1" applyBorder="1" applyAlignment="1">
      <alignment vertical="center" wrapText="1"/>
    </xf>
    <xf numFmtId="4" fontId="0" fillId="5" borderId="2" xfId="15" applyNumberFormat="1" applyFill="1" applyBorder="1" applyAlignment="1">
      <alignment vertical="center" wrapText="1"/>
    </xf>
    <xf numFmtId="4" fontId="0" fillId="0" borderId="11" xfId="0" applyNumberFormat="1" applyFill="1" applyBorder="1" applyAlignment="1">
      <alignment vertical="center" wrapText="1"/>
    </xf>
    <xf numFmtId="4" fontId="0" fillId="0" borderId="0" xfId="0" applyNumberFormat="1" applyFill="1" applyBorder="1" applyAlignment="1">
      <alignment vertical="center" wrapText="1"/>
    </xf>
    <xf numFmtId="0" fontId="0" fillId="0" borderId="12" xfId="0" applyFont="1" applyFill="1" applyBorder="1" applyAlignment="1">
      <alignment horizontal="left" vertical="center" wrapText="1"/>
    </xf>
    <xf numFmtId="4" fontId="0" fillId="2" borderId="71" xfId="0" applyNumberFormat="1" applyFill="1" applyBorder="1" applyAlignment="1">
      <alignment vertical="center"/>
    </xf>
    <xf numFmtId="4" fontId="0" fillId="0" borderId="22" xfId="0" applyNumberFormat="1" applyFill="1" applyBorder="1" applyAlignment="1">
      <alignment vertical="center"/>
    </xf>
    <xf numFmtId="4" fontId="0" fillId="2" borderId="73" xfId="0" applyNumberFormat="1" applyFill="1" applyBorder="1" applyAlignment="1">
      <alignment vertical="center"/>
    </xf>
    <xf numFmtId="4" fontId="0" fillId="0" borderId="11" xfId="0" applyNumberFormat="1" applyFill="1" applyBorder="1" applyAlignment="1">
      <alignment vertical="center"/>
    </xf>
    <xf numFmtId="4" fontId="0" fillId="0" borderId="63" xfId="0" applyNumberFormat="1" applyFill="1" applyBorder="1" applyAlignment="1">
      <alignment vertical="center"/>
    </xf>
    <xf numFmtId="4" fontId="0" fillId="2" borderId="1" xfId="0" applyNumberFormat="1" applyFill="1" applyBorder="1" applyAlignment="1">
      <alignment vertical="center"/>
    </xf>
    <xf numFmtId="0" fontId="0" fillId="0" borderId="2" xfId="0" applyBorder="1" applyAlignment="1">
      <alignment vertical="center"/>
    </xf>
    <xf numFmtId="0" fontId="0" fillId="0" borderId="1" xfId="0" applyBorder="1" applyAlignment="1">
      <alignment vertical="center"/>
    </xf>
    <xf numFmtId="3" fontId="0" fillId="0" borderId="68" xfId="0" applyNumberFormat="1" applyFill="1" applyBorder="1" applyAlignment="1">
      <alignment vertical="center"/>
    </xf>
    <xf numFmtId="3" fontId="1" fillId="2" borderId="65" xfId="0" applyNumberFormat="1" applyFont="1" applyFill="1" applyBorder="1" applyAlignment="1">
      <alignment horizontal="center" vertical="center" wrapText="1"/>
    </xf>
    <xf numFmtId="3" fontId="1" fillId="2" borderId="1" xfId="15" applyNumberFormat="1" applyFont="1" applyFill="1" applyBorder="1" applyAlignment="1">
      <alignment vertical="center"/>
    </xf>
    <xf numFmtId="182" fontId="0" fillId="0" borderId="2" xfId="17" applyNumberFormat="1" applyFill="1" applyBorder="1" applyAlignment="1">
      <alignment vertical="center"/>
    </xf>
    <xf numFmtId="182" fontId="0" fillId="0" borderId="24" xfId="17" applyNumberFormat="1" applyFill="1" applyBorder="1" applyAlignment="1">
      <alignment vertical="center"/>
    </xf>
    <xf numFmtId="182" fontId="1" fillId="2" borderId="24" xfId="17" applyNumberFormat="1" applyFont="1" applyFill="1" applyBorder="1" applyAlignment="1">
      <alignment vertical="center"/>
    </xf>
    <xf numFmtId="0" fontId="1" fillId="2" borderId="95" xfId="0" applyFont="1" applyFill="1" applyBorder="1" applyAlignment="1">
      <alignment horizontal="center" vertical="center" wrapText="1"/>
    </xf>
    <xf numFmtId="169" fontId="1" fillId="2" borderId="80" xfId="0" applyNumberFormat="1" applyFont="1" applyFill="1" applyBorder="1" applyAlignment="1">
      <alignment horizontal="center" vertical="center" wrapText="1"/>
    </xf>
    <xf numFmtId="169" fontId="0" fillId="0" borderId="34" xfId="15" applyNumberFormat="1" applyFill="1" applyBorder="1" applyAlignment="1">
      <alignment vertical="center" wrapText="1"/>
    </xf>
    <xf numFmtId="169" fontId="0" fillId="0" borderId="15" xfId="0" applyNumberFormat="1" applyFill="1" applyBorder="1" applyAlignment="1">
      <alignment vertical="center" wrapText="1"/>
    </xf>
    <xf numFmtId="169" fontId="1" fillId="2" borderId="15" xfId="0" applyNumberFormat="1" applyFont="1" applyFill="1" applyBorder="1" applyAlignment="1">
      <alignment vertical="center" wrapText="1"/>
    </xf>
    <xf numFmtId="169" fontId="0" fillId="3" borderId="15" xfId="0" applyNumberFormat="1" applyFill="1" applyBorder="1" applyAlignment="1">
      <alignment vertical="center" wrapText="1"/>
    </xf>
    <xf numFmtId="169" fontId="0" fillId="0" borderId="15" xfId="15" applyNumberFormat="1" applyFill="1" applyBorder="1" applyAlignment="1">
      <alignment vertical="center" wrapText="1"/>
    </xf>
    <xf numFmtId="169" fontId="1" fillId="2" borderId="15" xfId="15" applyNumberFormat="1" applyFont="1" applyFill="1" applyBorder="1" applyAlignment="1">
      <alignment vertical="center" wrapText="1"/>
    </xf>
    <xf numFmtId="4" fontId="1" fillId="2" borderId="61" xfId="0" applyNumberFormat="1" applyFont="1" applyFill="1" applyBorder="1" applyAlignment="1">
      <alignment horizontal="center" vertical="center" wrapText="1"/>
    </xf>
    <xf numFmtId="4" fontId="0" fillId="0" borderId="34" xfId="15" applyNumberFormat="1" applyFill="1" applyBorder="1" applyAlignment="1">
      <alignment vertical="center" wrapText="1"/>
    </xf>
    <xf numFmtId="4" fontId="0" fillId="0" borderId="15" xfId="15" applyNumberFormat="1" applyFill="1" applyBorder="1" applyAlignment="1">
      <alignment vertical="center" wrapText="1"/>
    </xf>
    <xf numFmtId="4" fontId="1" fillId="2" borderId="15" xfId="15" applyNumberFormat="1" applyFont="1" applyFill="1" applyBorder="1" applyAlignment="1">
      <alignment vertical="center" wrapText="1"/>
    </xf>
    <xf numFmtId="4" fontId="0" fillId="3" borderId="15" xfId="0" applyNumberFormat="1" applyFill="1" applyBorder="1" applyAlignment="1">
      <alignment vertical="center" wrapText="1"/>
    </xf>
    <xf numFmtId="43" fontId="1" fillId="2" borderId="1" xfId="15" applyFont="1" applyFill="1" applyBorder="1" applyAlignment="1">
      <alignment vertical="center"/>
    </xf>
    <xf numFmtId="170" fontId="1" fillId="2" borderId="80" xfId="15" applyNumberFormat="1" applyFont="1" applyFill="1" applyBorder="1" applyAlignment="1">
      <alignment horizontal="center" vertical="center" wrapText="1"/>
    </xf>
    <xf numFmtId="171" fontId="1" fillId="2" borderId="80" xfId="15" applyNumberFormat="1" applyFont="1" applyFill="1" applyBorder="1" applyAlignment="1">
      <alignment horizontal="center" vertical="center" wrapText="1"/>
    </xf>
    <xf numFmtId="171" fontId="0" fillId="0" borderId="34" xfId="15" applyNumberFormat="1" applyFont="1" applyFill="1" applyBorder="1" applyAlignment="1">
      <alignment horizontal="left" vertical="center" wrapText="1"/>
    </xf>
    <xf numFmtId="171" fontId="0" fillId="0" borderId="13" xfId="15" applyNumberFormat="1" applyFont="1" applyFill="1" applyBorder="1" applyAlignment="1">
      <alignment horizontal="left" vertical="center" wrapText="1"/>
    </xf>
    <xf numFmtId="171" fontId="0" fillId="0" borderId="26" xfId="15" applyNumberFormat="1" applyFont="1" applyFill="1" applyBorder="1" applyAlignment="1">
      <alignment horizontal="left" vertical="center" wrapText="1"/>
    </xf>
    <xf numFmtId="170" fontId="0" fillId="0" borderId="13" xfId="15" applyNumberFormat="1" applyFill="1" applyBorder="1" applyAlignment="1">
      <alignment vertical="center" wrapText="1"/>
    </xf>
    <xf numFmtId="43" fontId="0" fillId="0" borderId="0" xfId="15" applyNumberFormat="1" applyFill="1" applyAlignment="1">
      <alignment vertical="center"/>
    </xf>
    <xf numFmtId="43" fontId="1" fillId="2" borderId="16" xfId="15" applyNumberFormat="1" applyFont="1" applyFill="1" applyBorder="1" applyAlignment="1">
      <alignment horizontal="centerContinuous" vertical="center" wrapText="1"/>
    </xf>
    <xf numFmtId="43" fontId="1" fillId="2" borderId="61" xfId="15" applyNumberFormat="1" applyFont="1" applyFill="1" applyBorder="1" applyAlignment="1">
      <alignment horizontal="center" vertical="center" wrapText="1"/>
    </xf>
    <xf numFmtId="43" fontId="0" fillId="0" borderId="34" xfId="15" applyNumberFormat="1" applyFill="1" applyBorder="1" applyAlignment="1">
      <alignment vertical="center" wrapText="1"/>
    </xf>
    <xf numFmtId="43" fontId="0" fillId="0" borderId="13" xfId="15" applyNumberFormat="1" applyFill="1" applyBorder="1" applyAlignment="1">
      <alignment vertical="center" wrapText="1"/>
    </xf>
    <xf numFmtId="43" fontId="0" fillId="0" borderId="15" xfId="15" applyNumberFormat="1" applyFill="1" applyBorder="1" applyAlignment="1">
      <alignment vertical="center" wrapText="1"/>
    </xf>
    <xf numFmtId="43" fontId="1" fillId="2" borderId="1" xfId="15" applyNumberFormat="1" applyFont="1" applyFill="1" applyBorder="1" applyAlignment="1">
      <alignment vertical="center"/>
    </xf>
    <xf numFmtId="43" fontId="0" fillId="0" borderId="1" xfId="15" applyFill="1" applyBorder="1" applyAlignment="1">
      <alignment vertical="center"/>
    </xf>
    <xf numFmtId="43" fontId="1" fillId="2" borderId="1" xfId="15" applyFont="1" applyFill="1" applyBorder="1" applyAlignment="1">
      <alignment horizontal="center" vertical="center" wrapText="1"/>
    </xf>
    <xf numFmtId="170" fontId="1" fillId="2" borderId="1" xfId="15" applyNumberFormat="1" applyFont="1" applyFill="1" applyBorder="1" applyAlignment="1">
      <alignment horizontal="center" vertical="center" wrapText="1"/>
    </xf>
    <xf numFmtId="171" fontId="1" fillId="2" borderId="1" xfId="15" applyNumberFormat="1" applyFont="1" applyFill="1" applyBorder="1" applyAlignment="1">
      <alignment horizontal="center" vertical="center" wrapText="1"/>
    </xf>
    <xf numFmtId="171" fontId="0" fillId="0" borderId="0" xfId="15" applyNumberFormat="1" applyFill="1" applyBorder="1" applyAlignment="1">
      <alignment vertical="center"/>
    </xf>
    <xf numFmtId="170" fontId="0" fillId="0" borderId="2" xfId="15" applyNumberFormat="1" applyFill="1" applyBorder="1" applyAlignment="1">
      <alignment vertical="center"/>
    </xf>
    <xf numFmtId="170" fontId="1" fillId="2" borderId="2" xfId="15" applyNumberFormat="1" applyFont="1" applyFill="1" applyBorder="1" applyAlignment="1">
      <alignment vertical="center"/>
    </xf>
    <xf numFmtId="171" fontId="1" fillId="2" borderId="54" xfId="15" applyNumberFormat="1" applyFont="1" applyFill="1" applyBorder="1" applyAlignment="1">
      <alignment horizontal="center" vertical="center" wrapText="1"/>
    </xf>
    <xf numFmtId="171" fontId="0" fillId="0" borderId="2" xfId="15" applyNumberFormat="1" applyFill="1" applyBorder="1" applyAlignment="1">
      <alignment vertical="center"/>
    </xf>
    <xf numFmtId="171" fontId="1" fillId="2" borderId="2" xfId="15" applyNumberFormat="1" applyFont="1" applyFill="1" applyBorder="1" applyAlignment="1">
      <alignment vertical="center"/>
    </xf>
    <xf numFmtId="170" fontId="1" fillId="2" borderId="55" xfId="15"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72" fontId="0" fillId="0" borderId="1" xfId="0" applyNumberFormat="1" applyFill="1" applyBorder="1" applyAlignment="1">
      <alignment vertical="center" wrapText="1"/>
    </xf>
    <xf numFmtId="171" fontId="0" fillId="2" borderId="96" xfId="15" applyNumberFormat="1" applyFill="1" applyBorder="1" applyAlignment="1">
      <alignment vertical="center"/>
    </xf>
    <xf numFmtId="171" fontId="0" fillId="2" borderId="77" xfId="15" applyNumberFormat="1" applyFill="1" applyBorder="1" applyAlignment="1">
      <alignment vertical="center"/>
    </xf>
    <xf numFmtId="4" fontId="0" fillId="2" borderId="96" xfId="0" applyNumberFormat="1" applyFill="1" applyBorder="1" applyAlignment="1">
      <alignment vertical="center"/>
    </xf>
    <xf numFmtId="0" fontId="0" fillId="2" borderId="77" xfId="0" applyFill="1" applyBorder="1" applyAlignment="1">
      <alignment vertical="center"/>
    </xf>
    <xf numFmtId="0" fontId="0" fillId="0" borderId="0" xfId="0" applyFont="1" applyAlignment="1">
      <alignment/>
    </xf>
    <xf numFmtId="0" fontId="4" fillId="0" borderId="0" xfId="0" applyFont="1" applyAlignment="1">
      <alignment horizontal="centerContinuous"/>
    </xf>
    <xf numFmtId="0" fontId="0" fillId="0" borderId="0" xfId="0" applyFont="1" applyAlignment="1">
      <alignment horizontal="centerContinuous"/>
    </xf>
    <xf numFmtId="0" fontId="0" fillId="0" borderId="0" xfId="0" applyAlignment="1">
      <alignment horizontal="centerContinuous"/>
    </xf>
    <xf numFmtId="171" fontId="0" fillId="0" borderId="0" xfId="15" applyNumberFormat="1" applyFont="1" applyAlignment="1">
      <alignment/>
    </xf>
    <xf numFmtId="182" fontId="0" fillId="0" borderId="0" xfId="17" applyNumberFormat="1" applyFont="1" applyAlignment="1">
      <alignment horizontal="centerContinuous"/>
    </xf>
    <xf numFmtId="182" fontId="0" fillId="0" borderId="0" xfId="17" applyNumberFormat="1" applyFont="1" applyAlignment="1">
      <alignment/>
    </xf>
    <xf numFmtId="0" fontId="1" fillId="2" borderId="27" xfId="0" applyFont="1" applyFill="1" applyBorder="1" applyAlignment="1">
      <alignment vertical="center"/>
    </xf>
    <xf numFmtId="0" fontId="1" fillId="2" borderId="97" xfId="0" applyFont="1" applyFill="1" applyBorder="1" applyAlignment="1">
      <alignment vertical="center"/>
    </xf>
    <xf numFmtId="0" fontId="1" fillId="2" borderId="98" xfId="0" applyFont="1" applyFill="1" applyBorder="1" applyAlignment="1">
      <alignment horizontal="center" vertical="center" wrapText="1"/>
    </xf>
    <xf numFmtId="0" fontId="1" fillId="2" borderId="99" xfId="0" applyFont="1" applyFill="1" applyBorder="1" applyAlignment="1">
      <alignment horizontal="center" vertical="center" wrapText="1"/>
    </xf>
    <xf numFmtId="182" fontId="1" fillId="2" borderId="99" xfId="17" applyNumberFormat="1" applyFont="1" applyFill="1" applyBorder="1" applyAlignment="1">
      <alignment horizontal="center" vertical="center" wrapText="1"/>
    </xf>
    <xf numFmtId="0" fontId="1" fillId="6" borderId="100" xfId="0" applyFont="1" applyFill="1" applyBorder="1" applyAlignment="1">
      <alignment/>
    </xf>
    <xf numFmtId="171" fontId="1" fillId="6" borderId="28" xfId="15" applyNumberFormat="1" applyFont="1" applyFill="1" applyBorder="1" applyAlignment="1">
      <alignment/>
    </xf>
    <xf numFmtId="171" fontId="1" fillId="6" borderId="98" xfId="15" applyNumberFormat="1" applyFont="1" applyFill="1" applyBorder="1" applyAlignment="1">
      <alignment horizontal="right"/>
    </xf>
    <xf numFmtId="42" fontId="1" fillId="6" borderId="3" xfId="17" applyNumberFormat="1" applyFont="1" applyFill="1" applyBorder="1" applyAlignment="1">
      <alignment horizontal="right"/>
    </xf>
    <xf numFmtId="171" fontId="1" fillId="6" borderId="99" xfId="15" applyNumberFormat="1" applyFont="1" applyFill="1" applyBorder="1" applyAlignment="1">
      <alignment horizontal="right"/>
    </xf>
    <xf numFmtId="174" fontId="1" fillId="6" borderId="3" xfId="0" applyNumberFormat="1" applyFont="1" applyFill="1" applyBorder="1" applyAlignment="1">
      <alignment horizontal="center"/>
    </xf>
    <xf numFmtId="182" fontId="1" fillId="6" borderId="3" xfId="17" applyNumberFormat="1" applyFont="1" applyFill="1" applyBorder="1" applyAlignment="1">
      <alignment horizontal="center"/>
    </xf>
    <xf numFmtId="0" fontId="1" fillId="6" borderId="36" xfId="0" applyFont="1" applyFill="1" applyBorder="1" applyAlignment="1">
      <alignment/>
    </xf>
    <xf numFmtId="174" fontId="1" fillId="6" borderId="3" xfId="15" applyNumberFormat="1" applyFont="1" applyFill="1" applyBorder="1" applyAlignment="1">
      <alignment horizontal="center"/>
    </xf>
    <xf numFmtId="171" fontId="0" fillId="6" borderId="2" xfId="15" applyNumberFormat="1" applyFont="1" applyFill="1" applyBorder="1" applyAlignment="1">
      <alignment horizontal="right"/>
    </xf>
    <xf numFmtId="171" fontId="0" fillId="6" borderId="85" xfId="15" applyNumberFormat="1" applyFont="1" applyFill="1" applyBorder="1" applyAlignment="1">
      <alignment horizontal="right"/>
    </xf>
    <xf numFmtId="171" fontId="0" fillId="6" borderId="101" xfId="15" applyNumberFormat="1" applyFont="1" applyFill="1" applyBorder="1" applyAlignment="1">
      <alignment horizontal="right"/>
    </xf>
    <xf numFmtId="174" fontId="0" fillId="6" borderId="102" xfId="15" applyNumberFormat="1" applyFont="1" applyFill="1" applyBorder="1" applyAlignment="1">
      <alignment horizontal="center"/>
    </xf>
    <xf numFmtId="182" fontId="0" fillId="6" borderId="102" xfId="17" applyNumberFormat="1" applyFont="1" applyFill="1" applyBorder="1" applyAlignment="1">
      <alignment horizontal="center"/>
    </xf>
    <xf numFmtId="171" fontId="0" fillId="6" borderId="1" xfId="15" applyNumberFormat="1" applyFont="1" applyFill="1" applyBorder="1" applyAlignment="1">
      <alignment horizontal="right"/>
    </xf>
    <xf numFmtId="171" fontId="0" fillId="6" borderId="103" xfId="15" applyNumberFormat="1" applyFont="1" applyFill="1" applyBorder="1" applyAlignment="1">
      <alignment horizontal="right"/>
    </xf>
    <xf numFmtId="174" fontId="0" fillId="6" borderId="104" xfId="15" applyNumberFormat="1" applyFont="1" applyFill="1" applyBorder="1" applyAlignment="1">
      <alignment horizontal="center"/>
    </xf>
    <xf numFmtId="182" fontId="0" fillId="6" borderId="104" xfId="17" applyNumberFormat="1" applyFont="1" applyFill="1" applyBorder="1" applyAlignment="1">
      <alignment horizontal="center"/>
    </xf>
    <xf numFmtId="171" fontId="0" fillId="6" borderId="105" xfId="15" applyNumberFormat="1" applyFont="1" applyFill="1" applyBorder="1" applyAlignment="1">
      <alignment horizontal="right"/>
    </xf>
    <xf numFmtId="182" fontId="0" fillId="6" borderId="106" xfId="17" applyNumberFormat="1" applyFont="1" applyFill="1" applyBorder="1" applyAlignment="1">
      <alignment horizontal="center"/>
    </xf>
    <xf numFmtId="0" fontId="1" fillId="6" borderId="27" xfId="0" applyFont="1" applyFill="1" applyBorder="1" applyAlignment="1">
      <alignment/>
    </xf>
    <xf numFmtId="171" fontId="1" fillId="6" borderId="99" xfId="15" applyNumberFormat="1" applyFont="1" applyFill="1" applyBorder="1" applyAlignment="1">
      <alignment horizontal="left"/>
    </xf>
    <xf numFmtId="174" fontId="0" fillId="6" borderId="102" xfId="0" applyNumberFormat="1" applyFont="1" applyFill="1" applyBorder="1" applyAlignment="1">
      <alignment horizontal="center"/>
    </xf>
    <xf numFmtId="0" fontId="1" fillId="6" borderId="39" xfId="0" applyFont="1" applyFill="1" applyBorder="1" applyAlignment="1">
      <alignment/>
    </xf>
    <xf numFmtId="171" fontId="0" fillId="6" borderId="107" xfId="15" applyNumberFormat="1" applyFont="1" applyFill="1" applyBorder="1" applyAlignment="1">
      <alignment horizontal="right"/>
    </xf>
    <xf numFmtId="171" fontId="0" fillId="6" borderId="108" xfId="15" applyNumberFormat="1" applyFont="1" applyFill="1" applyBorder="1" applyAlignment="1">
      <alignment horizontal="right"/>
    </xf>
    <xf numFmtId="174" fontId="0" fillId="6" borderId="106" xfId="0" applyNumberFormat="1" applyFont="1" applyFill="1" applyBorder="1" applyAlignment="1">
      <alignment horizontal="center"/>
    </xf>
    <xf numFmtId="182" fontId="1" fillId="6" borderId="3" xfId="17" applyNumberFormat="1" applyFont="1" applyFill="1" applyBorder="1" applyAlignment="1">
      <alignment horizontal="right"/>
    </xf>
    <xf numFmtId="170" fontId="0" fillId="6" borderId="101" xfId="15" applyNumberFormat="1" applyFont="1" applyFill="1" applyBorder="1" applyAlignment="1">
      <alignment horizontal="right"/>
    </xf>
    <xf numFmtId="182" fontId="0" fillId="6" borderId="102" xfId="17" applyNumberFormat="1" applyFont="1" applyFill="1" applyBorder="1" applyAlignment="1">
      <alignment horizontal="right"/>
    </xf>
    <xf numFmtId="170" fontId="0" fillId="6" borderId="108" xfId="15" applyNumberFormat="1" applyFont="1" applyFill="1" applyBorder="1" applyAlignment="1">
      <alignment horizontal="right"/>
    </xf>
    <xf numFmtId="182" fontId="0" fillId="6" borderId="106" xfId="17" applyNumberFormat="1" applyFont="1" applyFill="1" applyBorder="1" applyAlignment="1">
      <alignment horizontal="right"/>
    </xf>
    <xf numFmtId="0" fontId="1" fillId="2" borderId="27" xfId="0" applyFont="1" applyFill="1" applyBorder="1" applyAlignment="1">
      <alignment/>
    </xf>
    <xf numFmtId="7" fontId="1" fillId="2" borderId="3" xfId="17" applyNumberFormat="1" applyFont="1" applyFill="1" applyBorder="1" applyAlignment="1">
      <alignment horizontal="center"/>
    </xf>
    <xf numFmtId="182" fontId="1" fillId="2" borderId="3" xfId="17" applyNumberFormat="1" applyFont="1" applyFill="1" applyBorder="1" applyAlignment="1">
      <alignment horizontal="center"/>
    </xf>
    <xf numFmtId="0" fontId="0" fillId="0" borderId="0" xfId="0" applyFont="1" applyFill="1" applyAlignment="1">
      <alignment/>
    </xf>
    <xf numFmtId="0" fontId="1" fillId="0" borderId="0" xfId="0" applyFont="1" applyFill="1" applyBorder="1" applyAlignment="1">
      <alignment/>
    </xf>
    <xf numFmtId="171" fontId="1" fillId="0" borderId="0" xfId="15" applyNumberFormat="1" applyFont="1" applyFill="1" applyBorder="1" applyAlignment="1">
      <alignment/>
    </xf>
    <xf numFmtId="171" fontId="1" fillId="0" borderId="0" xfId="15" applyNumberFormat="1" applyFont="1" applyFill="1" applyBorder="1" applyAlignment="1">
      <alignment horizontal="right"/>
    </xf>
    <xf numFmtId="42" fontId="1" fillId="0" borderId="0" xfId="17" applyNumberFormat="1" applyFont="1" applyFill="1" applyBorder="1" applyAlignment="1">
      <alignment/>
    </xf>
    <xf numFmtId="7" fontId="1" fillId="0" borderId="0" xfId="17" applyNumberFormat="1" applyFont="1" applyFill="1" applyBorder="1" applyAlignment="1">
      <alignment horizontal="center"/>
    </xf>
    <xf numFmtId="182" fontId="1" fillId="0" borderId="0" xfId="17" applyNumberFormat="1" applyFont="1" applyFill="1" applyBorder="1" applyAlignment="1">
      <alignment horizontal="center"/>
    </xf>
    <xf numFmtId="0" fontId="0" fillId="0" borderId="0" xfId="0" applyFont="1" applyAlignment="1">
      <alignment horizontal="right"/>
    </xf>
    <xf numFmtId="0" fontId="0" fillId="0" borderId="0" xfId="0" applyFont="1" applyFill="1" applyBorder="1" applyAlignment="1">
      <alignment/>
    </xf>
    <xf numFmtId="171" fontId="0" fillId="0" borderId="1" xfId="15" applyNumberFormat="1" applyFont="1" applyFill="1" applyBorder="1" applyAlignment="1">
      <alignment vertical="center"/>
    </xf>
    <xf numFmtId="171" fontId="0" fillId="0" borderId="0" xfId="15" applyNumberFormat="1" applyFont="1" applyAlignment="1">
      <alignment horizontal="right"/>
    </xf>
    <xf numFmtId="171" fontId="0" fillId="0" borderId="0" xfId="0" applyNumberFormat="1" applyFont="1" applyAlignment="1">
      <alignment/>
    </xf>
    <xf numFmtId="171" fontId="0" fillId="0" borderId="0" xfId="15" applyNumberFormat="1" applyAlignment="1">
      <alignment/>
    </xf>
    <xf numFmtId="43" fontId="0" fillId="0" borderId="1" xfId="15" applyFont="1" applyFill="1" applyBorder="1" applyAlignment="1">
      <alignment vertical="center" wrapText="1"/>
    </xf>
    <xf numFmtId="174" fontId="0" fillId="6" borderId="109" xfId="15" applyNumberFormat="1" applyFont="1" applyFill="1" applyBorder="1" applyAlignment="1">
      <alignment horizontal="center"/>
    </xf>
    <xf numFmtId="43" fontId="0" fillId="0" borderId="0" xfId="15" applyFont="1" applyAlignment="1">
      <alignment/>
    </xf>
    <xf numFmtId="175" fontId="0" fillId="0" borderId="2" xfId="15" applyNumberFormat="1" applyFont="1" applyFill="1" applyBorder="1" applyAlignment="1">
      <alignment vertical="center" wrapText="1"/>
    </xf>
    <xf numFmtId="169" fontId="0" fillId="0" borderId="2" xfId="15" applyNumberFormat="1" applyFont="1" applyFill="1" applyBorder="1" applyAlignment="1">
      <alignment vertical="center" wrapText="1"/>
    </xf>
    <xf numFmtId="3" fontId="1" fillId="2" borderId="56" xfId="0" applyNumberFormat="1" applyFont="1" applyFill="1" applyBorder="1" applyAlignment="1">
      <alignment horizontal="center" vertical="center" wrapText="1"/>
    </xf>
    <xf numFmtId="3" fontId="0" fillId="0" borderId="1" xfId="15" applyNumberFormat="1" applyFill="1" applyBorder="1" applyAlignment="1">
      <alignment vertical="center" wrapText="1"/>
    </xf>
    <xf numFmtId="3" fontId="1" fillId="2" borderId="1" xfId="15" applyNumberFormat="1" applyFont="1" applyFill="1" applyBorder="1" applyAlignment="1">
      <alignment horizontal="center" vertical="center" wrapText="1"/>
    </xf>
    <xf numFmtId="3" fontId="0" fillId="0" borderId="0" xfId="15" applyNumberFormat="1" applyFill="1" applyAlignment="1">
      <alignment vertical="center"/>
    </xf>
    <xf numFmtId="3" fontId="0" fillId="0" borderId="2" xfId="0" applyNumberFormat="1" applyFill="1" applyBorder="1" applyAlignment="1">
      <alignment vertical="center" wrapText="1"/>
    </xf>
    <xf numFmtId="171" fontId="0" fillId="0" borderId="2" xfId="15" applyNumberFormat="1" applyBorder="1" applyAlignment="1">
      <alignment vertical="center"/>
    </xf>
    <xf numFmtId="171" fontId="0" fillId="0" borderId="0" xfId="15" applyNumberFormat="1" applyAlignment="1">
      <alignment vertical="center"/>
    </xf>
    <xf numFmtId="171" fontId="0" fillId="0" borderId="1" xfId="15" applyNumberFormat="1" applyBorder="1" applyAlignment="1">
      <alignment vertical="center"/>
    </xf>
    <xf numFmtId="171" fontId="1" fillId="2" borderId="56" xfId="15" applyNumberFormat="1" applyFont="1" applyFill="1" applyBorder="1" applyAlignment="1">
      <alignment horizontal="center" vertical="center" wrapText="1"/>
    </xf>
    <xf numFmtId="171" fontId="0" fillId="0" borderId="11" xfId="15" applyNumberFormat="1" applyFill="1" applyBorder="1" applyAlignment="1">
      <alignment vertical="center" wrapText="1"/>
    </xf>
    <xf numFmtId="171" fontId="0" fillId="0" borderId="0" xfId="15" applyNumberFormat="1" applyFill="1" applyBorder="1" applyAlignment="1">
      <alignment vertical="center" wrapText="1"/>
    </xf>
    <xf numFmtId="171" fontId="0" fillId="4" borderId="2" xfId="15" applyNumberFormat="1" applyFill="1" applyBorder="1" applyAlignment="1">
      <alignment vertical="center" wrapText="1"/>
    </xf>
    <xf numFmtId="171" fontId="0" fillId="5" borderId="2" xfId="15" applyNumberFormat="1" applyFill="1" applyBorder="1" applyAlignment="1">
      <alignment vertical="center" wrapText="1"/>
    </xf>
    <xf numFmtId="171" fontId="1" fillId="2" borderId="90" xfId="15" applyNumberFormat="1" applyFont="1" applyFill="1" applyBorder="1" applyAlignment="1">
      <alignment horizontal="center" vertical="center" wrapText="1"/>
    </xf>
    <xf numFmtId="171" fontId="0" fillId="0" borderId="34" xfId="15" applyNumberFormat="1" applyFill="1" applyBorder="1" applyAlignment="1">
      <alignment vertical="center" wrapText="1"/>
    </xf>
    <xf numFmtId="171" fontId="0" fillId="0" borderId="13" xfId="15" applyNumberFormat="1" applyFill="1" applyBorder="1" applyAlignment="1">
      <alignment vertical="center" wrapText="1"/>
    </xf>
    <xf numFmtId="171" fontId="0" fillId="0" borderId="15" xfId="15" applyNumberFormat="1" applyFill="1" applyBorder="1" applyAlignment="1">
      <alignment vertical="center" wrapText="1"/>
    </xf>
    <xf numFmtId="3" fontId="0" fillId="2" borderId="71" xfId="0" applyNumberFormat="1" applyFill="1" applyBorder="1" applyAlignment="1">
      <alignment vertical="center"/>
    </xf>
    <xf numFmtId="3" fontId="0" fillId="2" borderId="73" xfId="0" applyNumberFormat="1" applyFill="1" applyBorder="1" applyAlignment="1">
      <alignment vertical="center"/>
    </xf>
    <xf numFmtId="3" fontId="0" fillId="0" borderId="63" xfId="15" applyNumberFormat="1" applyFill="1" applyBorder="1" applyAlignment="1">
      <alignment vertical="center"/>
    </xf>
    <xf numFmtId="3" fontId="0" fillId="0" borderId="11" xfId="0" applyNumberFormat="1" applyFill="1" applyBorder="1" applyAlignment="1">
      <alignment vertical="center"/>
    </xf>
    <xf numFmtId="3" fontId="0" fillId="2" borderId="1" xfId="0" applyNumberFormat="1" applyFill="1" applyBorder="1" applyAlignment="1">
      <alignment vertical="center"/>
    </xf>
    <xf numFmtId="174" fontId="0" fillId="6" borderId="109" xfId="0" applyNumberFormat="1" applyFont="1" applyFill="1" applyBorder="1" applyAlignment="1">
      <alignment horizontal="center"/>
    </xf>
    <xf numFmtId="174" fontId="0" fillId="6" borderId="110" xfId="0" applyNumberFormat="1" applyFont="1" applyFill="1" applyBorder="1" applyAlignment="1">
      <alignment horizontal="center"/>
    </xf>
    <xf numFmtId="174" fontId="0" fillId="6" borderId="111" xfId="0" applyNumberFormat="1" applyFont="1" applyFill="1" applyBorder="1" applyAlignment="1">
      <alignment horizontal="center"/>
    </xf>
    <xf numFmtId="171" fontId="0" fillId="6" borderId="102" xfId="15" applyNumberFormat="1" applyFont="1" applyFill="1" applyBorder="1" applyAlignment="1">
      <alignment horizontal="right"/>
    </xf>
    <xf numFmtId="171" fontId="0" fillId="6" borderId="109" xfId="15" applyNumberFormat="1" applyFont="1" applyFill="1" applyBorder="1" applyAlignment="1">
      <alignment horizontal="right"/>
    </xf>
    <xf numFmtId="171" fontId="0" fillId="0" borderId="0" xfId="0" applyNumberFormat="1" applyAlignment="1">
      <alignment/>
    </xf>
    <xf numFmtId="171" fontId="1" fillId="2" borderId="29" xfId="15" applyNumberFormat="1" applyFont="1" applyFill="1" applyBorder="1" applyAlignment="1">
      <alignment/>
    </xf>
    <xf numFmtId="171" fontId="1" fillId="2" borderId="3" xfId="15" applyNumberFormat="1" applyFont="1" applyFill="1" applyBorder="1" applyAlignment="1">
      <alignment horizontal="right"/>
    </xf>
    <xf numFmtId="0" fontId="1" fillId="2" borderId="29" xfId="0" applyFont="1" applyFill="1" applyBorder="1" applyAlignment="1">
      <alignment horizontal="center" vertical="center" wrapText="1"/>
    </xf>
    <xf numFmtId="42" fontId="1" fillId="6" borderId="29" xfId="17" applyNumberFormat="1" applyFont="1" applyFill="1" applyBorder="1" applyAlignment="1">
      <alignment horizontal="right"/>
    </xf>
    <xf numFmtId="42" fontId="1" fillId="6" borderId="29" xfId="17" applyNumberFormat="1" applyFont="1" applyFill="1" applyBorder="1" applyAlignment="1">
      <alignment/>
    </xf>
    <xf numFmtId="42" fontId="0" fillId="6" borderId="110" xfId="17" applyNumberFormat="1" applyFont="1" applyFill="1" applyBorder="1" applyAlignment="1">
      <alignment horizontal="right"/>
    </xf>
    <xf numFmtId="42" fontId="0" fillId="6" borderId="112" xfId="17" applyNumberFormat="1" applyFont="1" applyFill="1" applyBorder="1" applyAlignment="1">
      <alignment horizontal="right"/>
    </xf>
    <xf numFmtId="42" fontId="0" fillId="6" borderId="112" xfId="17" applyNumberFormat="1" applyFont="1" applyFill="1" applyBorder="1" applyAlignment="1">
      <alignment/>
    </xf>
    <xf numFmtId="42" fontId="0" fillId="6" borderId="41" xfId="17" applyNumberFormat="1" applyFont="1" applyFill="1" applyBorder="1" applyAlignment="1">
      <alignment horizontal="right"/>
    </xf>
    <xf numFmtId="42" fontId="0" fillId="6" borderId="110" xfId="17" applyNumberFormat="1" applyFont="1" applyFill="1" applyBorder="1" applyAlignment="1">
      <alignment/>
    </xf>
    <xf numFmtId="42" fontId="0" fillId="6" borderId="41" xfId="17" applyNumberFormat="1" applyFont="1" applyFill="1" applyBorder="1" applyAlignment="1">
      <alignment/>
    </xf>
    <xf numFmtId="42" fontId="0" fillId="6" borderId="111" xfId="17" applyNumberFormat="1" applyFont="1" applyFill="1" applyBorder="1" applyAlignment="1">
      <alignment/>
    </xf>
    <xf numFmtId="171" fontId="1" fillId="6" borderId="29" xfId="15" applyNumberFormat="1" applyFont="1" applyFill="1" applyBorder="1" applyAlignment="1">
      <alignment/>
    </xf>
    <xf numFmtId="171" fontId="1" fillId="6" borderId="3" xfId="15" applyNumberFormat="1" applyFont="1" applyFill="1" applyBorder="1" applyAlignment="1">
      <alignment horizontal="right"/>
    </xf>
    <xf numFmtId="171" fontId="1" fillId="6" borderId="29" xfId="15" applyNumberFormat="1" applyFont="1" applyFill="1" applyBorder="1" applyAlignment="1">
      <alignment/>
    </xf>
    <xf numFmtId="171" fontId="0" fillId="6" borderId="113" xfId="15" applyNumberFormat="1" applyFont="1" applyFill="1" applyBorder="1" applyAlignment="1">
      <alignment/>
    </xf>
    <xf numFmtId="171" fontId="15" fillId="6" borderId="114" xfId="15" applyNumberFormat="1" applyFont="1" applyFill="1" applyBorder="1" applyAlignment="1">
      <alignment horizontal="right"/>
    </xf>
    <xf numFmtId="171" fontId="0" fillId="6" borderId="114" xfId="15" applyNumberFormat="1" applyFont="1" applyFill="1" applyBorder="1" applyAlignment="1">
      <alignment horizontal="right"/>
    </xf>
    <xf numFmtId="171" fontId="1" fillId="6" borderId="29" xfId="15" applyNumberFormat="1" applyFont="1" applyFill="1" applyBorder="1" applyAlignment="1">
      <alignment horizontal="left"/>
    </xf>
    <xf numFmtId="171" fontId="1" fillId="6" borderId="3" xfId="15" applyNumberFormat="1" applyFont="1" applyFill="1" applyBorder="1" applyAlignment="1">
      <alignment horizontal="left"/>
    </xf>
    <xf numFmtId="171" fontId="0" fillId="6" borderId="41" xfId="15" applyNumberFormat="1" applyFont="1" applyFill="1" applyBorder="1" applyAlignment="1">
      <alignment/>
    </xf>
    <xf numFmtId="171" fontId="0" fillId="6" borderId="106" xfId="15" applyNumberFormat="1" applyFont="1" applyFill="1" applyBorder="1" applyAlignment="1">
      <alignment horizontal="right"/>
    </xf>
    <xf numFmtId="174" fontId="1" fillId="2" borderId="3" xfId="17" applyNumberFormat="1" applyFont="1" applyFill="1" applyBorder="1" applyAlignment="1">
      <alignment horizontal="center"/>
    </xf>
    <xf numFmtId="0" fontId="0" fillId="0" borderId="70" xfId="0" applyBorder="1" applyAlignment="1">
      <alignment vertical="center"/>
    </xf>
    <xf numFmtId="3" fontId="0" fillId="0" borderId="9" xfId="15" applyNumberFormat="1" applyFill="1" applyBorder="1" applyAlignment="1">
      <alignment vertical="center"/>
    </xf>
    <xf numFmtId="170" fontId="0" fillId="0" borderId="11" xfId="15" applyNumberFormat="1" applyFill="1" applyBorder="1" applyAlignment="1">
      <alignment vertical="center"/>
    </xf>
    <xf numFmtId="170" fontId="0" fillId="0" borderId="2" xfId="15" applyNumberFormat="1" applyFill="1" applyBorder="1" applyAlignment="1">
      <alignment vertical="center"/>
    </xf>
    <xf numFmtId="43" fontId="0" fillId="0" borderId="115" xfId="15" applyFill="1" applyBorder="1" applyAlignment="1">
      <alignment vertical="center"/>
    </xf>
    <xf numFmtId="43" fontId="0" fillId="0" borderId="2" xfId="15" applyFill="1" applyBorder="1" applyAlignment="1">
      <alignment vertical="center"/>
    </xf>
    <xf numFmtId="170" fontId="0" fillId="0" borderId="115" xfId="15" applyNumberFormat="1" applyFill="1" applyBorder="1" applyAlignment="1">
      <alignment vertical="center"/>
    </xf>
    <xf numFmtId="0" fontId="0" fillId="2" borderId="33" xfId="0" applyFill="1" applyBorder="1" applyAlignment="1">
      <alignment horizontal="center" vertical="center" wrapText="1"/>
    </xf>
    <xf numFmtId="171" fontId="0" fillId="0" borderId="9" xfId="15" applyNumberFormat="1" applyFill="1" applyBorder="1" applyAlignment="1">
      <alignment vertical="center"/>
    </xf>
    <xf numFmtId="0" fontId="0" fillId="0" borderId="0" xfId="0" applyAlignment="1">
      <alignment vertical="center"/>
    </xf>
    <xf numFmtId="171" fontId="0" fillId="6" borderId="102" xfId="15" applyNumberFormat="1" applyFont="1" applyFill="1" applyBorder="1" applyAlignment="1">
      <alignment horizontal="right" vertical="center"/>
    </xf>
    <xf numFmtId="0" fontId="0" fillId="0" borderId="109" xfId="0" applyBorder="1" applyAlignment="1">
      <alignment horizontal="right" vertical="center"/>
    </xf>
    <xf numFmtId="182" fontId="0" fillId="6" borderId="38" xfId="17" applyNumberFormat="1" applyFont="1" applyFill="1" applyBorder="1" applyAlignment="1">
      <alignment horizontal="center" vertical="center"/>
    </xf>
    <xf numFmtId="0" fontId="0" fillId="0" borderId="106" xfId="0" applyBorder="1" applyAlignment="1">
      <alignment horizontal="center" vertical="center"/>
    </xf>
    <xf numFmtId="0" fontId="1" fillId="2" borderId="17" xfId="0" applyFont="1" applyFill="1" applyBorder="1" applyAlignment="1">
      <alignment horizontal="center" vertical="center" wrapText="1"/>
    </xf>
    <xf numFmtId="0" fontId="0" fillId="2" borderId="116" xfId="0" applyFill="1" applyBorder="1" applyAlignment="1">
      <alignment horizontal="center" vertical="center" wrapText="1"/>
    </xf>
    <xf numFmtId="171" fontId="0" fillId="0" borderId="1" xfId="15" applyNumberFormat="1" applyFill="1" applyBorder="1" applyAlignment="1">
      <alignment vertical="center" wrapText="1"/>
    </xf>
    <xf numFmtId="43" fontId="0" fillId="0" borderId="11" xfId="15" applyFill="1" applyBorder="1" applyAlignment="1">
      <alignment vertical="center" wrapText="1"/>
    </xf>
    <xf numFmtId="43" fontId="0" fillId="0" borderId="2" xfId="15" applyFill="1" applyBorder="1" applyAlignment="1">
      <alignment vertical="center" wrapText="1"/>
    </xf>
    <xf numFmtId="3" fontId="0" fillId="0" borderId="11" xfId="15" applyNumberFormat="1" applyFill="1" applyBorder="1" applyAlignment="1">
      <alignment vertical="center" wrapText="1"/>
    </xf>
    <xf numFmtId="3" fontId="0" fillId="0" borderId="2" xfId="15" applyNumberFormat="1" applyFill="1" applyBorder="1" applyAlignment="1">
      <alignment vertical="center" wrapText="1"/>
    </xf>
    <xf numFmtId="169" fontId="0" fillId="0" borderId="11" xfId="0" applyNumberFormat="1" applyFill="1" applyBorder="1" applyAlignment="1">
      <alignment vertical="center"/>
    </xf>
    <xf numFmtId="169" fontId="0" fillId="0" borderId="2" xfId="0" applyNumberFormat="1" applyFill="1" applyBorder="1" applyAlignment="1">
      <alignment vertical="center"/>
    </xf>
    <xf numFmtId="171" fontId="0" fillId="0" borderId="11" xfId="15" applyNumberFormat="1" applyFont="1" applyFill="1" applyBorder="1" applyAlignment="1">
      <alignment vertical="center"/>
    </xf>
    <xf numFmtId="0" fontId="0" fillId="0" borderId="2" xfId="0" applyBorder="1" applyAlignment="1">
      <alignment vertical="center"/>
    </xf>
    <xf numFmtId="169" fontId="0" fillId="0" borderId="22" xfId="0" applyNumberFormat="1" applyFill="1" applyBorder="1" applyAlignment="1">
      <alignment vertical="center"/>
    </xf>
    <xf numFmtId="171" fontId="0" fillId="0" borderId="11" xfId="15" applyNumberFormat="1" applyFill="1" applyBorder="1" applyAlignment="1">
      <alignment vertical="center"/>
    </xf>
    <xf numFmtId="171" fontId="0" fillId="0" borderId="22" xfId="15" applyNumberFormat="1" applyFill="1" applyBorder="1" applyAlignment="1">
      <alignment vertical="center"/>
    </xf>
    <xf numFmtId="171" fontId="0" fillId="0" borderId="2" xfId="15" applyNumberFormat="1" applyFill="1" applyBorder="1" applyAlignment="1">
      <alignment vertical="center"/>
    </xf>
    <xf numFmtId="169" fontId="0" fillId="0" borderId="115" xfId="0" applyNumberFormat="1" applyFill="1" applyBorder="1" applyAlignment="1">
      <alignment vertical="center"/>
    </xf>
    <xf numFmtId="171" fontId="0" fillId="0" borderId="115" xfId="15" applyNumberFormat="1" applyFill="1" applyBorder="1" applyAlignment="1">
      <alignment vertical="center"/>
    </xf>
    <xf numFmtId="0" fontId="0" fillId="0" borderId="22" xfId="0" applyBorder="1" applyAlignment="1">
      <alignment vertical="center"/>
    </xf>
    <xf numFmtId="171" fontId="0" fillId="4" borderId="11" xfId="15" applyNumberFormat="1" applyFill="1" applyBorder="1" applyAlignment="1">
      <alignment vertical="center"/>
    </xf>
    <xf numFmtId="171" fontId="0" fillId="4" borderId="22" xfId="15" applyNumberFormat="1" applyFill="1" applyBorder="1" applyAlignment="1">
      <alignment vertical="center"/>
    </xf>
    <xf numFmtId="171" fontId="0" fillId="4" borderId="2" xfId="15" applyNumberFormat="1" applyFill="1" applyBorder="1" applyAlignment="1">
      <alignment vertical="center"/>
    </xf>
    <xf numFmtId="171" fontId="0" fillId="5" borderId="11" xfId="15" applyNumberFormat="1" applyFill="1" applyBorder="1" applyAlignment="1">
      <alignment vertical="center"/>
    </xf>
    <xf numFmtId="171" fontId="0" fillId="5" borderId="22" xfId="15" applyNumberFormat="1" applyFill="1" applyBorder="1" applyAlignment="1">
      <alignment vertical="center"/>
    </xf>
    <xf numFmtId="171" fontId="0" fillId="5" borderId="2" xfId="15" applyNumberFormat="1" applyFill="1" applyBorder="1" applyAlignment="1">
      <alignment vertical="center"/>
    </xf>
    <xf numFmtId="171" fontId="0" fillId="0" borderId="22" xfId="15" applyNumberFormat="1" applyBorder="1" applyAlignment="1">
      <alignment vertical="center"/>
    </xf>
    <xf numFmtId="171" fontId="0" fillId="0" borderId="2" xfId="15" applyNumberFormat="1" applyBorder="1" applyAlignment="1">
      <alignment vertical="center"/>
    </xf>
    <xf numFmtId="3" fontId="0" fillId="0" borderId="0" xfId="0" applyNumberFormat="1" applyAlignment="1">
      <alignment vertical="center"/>
    </xf>
    <xf numFmtId="3" fontId="0" fillId="0" borderId="70" xfId="0" applyNumberFormat="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emf" /><Relationship Id="rId3" Type="http://schemas.openxmlformats.org/officeDocument/2006/relationships/image" Target="../media/image11.emf" /><Relationship Id="rId4"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9.emf" /><Relationship Id="rId3" Type="http://schemas.openxmlformats.org/officeDocument/2006/relationships/image" Target="../media/image15.emf" /><Relationship Id="rId4"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9.emf" /><Relationship Id="rId3" Type="http://schemas.openxmlformats.org/officeDocument/2006/relationships/image" Target="../media/image12.emf" /><Relationship Id="rId4" Type="http://schemas.openxmlformats.org/officeDocument/2006/relationships/image" Target="../media/image1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9.emf" /><Relationship Id="rId3" Type="http://schemas.openxmlformats.org/officeDocument/2006/relationships/image" Target="../media/image1.emf" /><Relationship Id="rId4"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9.emf" /><Relationship Id="rId3" Type="http://schemas.openxmlformats.org/officeDocument/2006/relationships/image" Target="../media/image17.emf" /><Relationship Id="rId4" Type="http://schemas.openxmlformats.org/officeDocument/2006/relationships/image" Target="../media/image1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emf" /><Relationship Id="rId3" Type="http://schemas.openxmlformats.org/officeDocument/2006/relationships/image" Target="../media/image9.emf" /><Relationship Id="rId4"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0.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52</xdr:row>
      <xdr:rowOff>0</xdr:rowOff>
    </xdr:from>
    <xdr:to>
      <xdr:col>3</xdr:col>
      <xdr:colOff>57150</xdr:colOff>
      <xdr:row>53</xdr:row>
      <xdr:rowOff>66675</xdr:rowOff>
    </xdr:to>
    <xdr:pic>
      <xdr:nvPicPr>
        <xdr:cNvPr id="1" name="Picture 1" hidden="1"/>
        <xdr:cNvPicPr preferRelativeResize="1">
          <a:picLocks noChangeAspect="1"/>
        </xdr:cNvPicPr>
      </xdr:nvPicPr>
      <xdr:blipFill>
        <a:blip r:embed="rId1"/>
        <a:stretch>
          <a:fillRect/>
        </a:stretch>
      </xdr:blipFill>
      <xdr:spPr>
        <a:xfrm>
          <a:off x="1752600" y="53378100"/>
          <a:ext cx="914400" cy="228600"/>
        </a:xfrm>
        <a:prstGeom prst="rect">
          <a:avLst/>
        </a:prstGeom>
        <a:noFill/>
        <a:ln w="9525" cmpd="sng">
          <a:noFill/>
        </a:ln>
      </xdr:spPr>
    </xdr:pic>
    <xdr:clientData/>
  </xdr:twoCellAnchor>
  <xdr:twoCellAnchor editAs="oneCell">
    <xdr:from>
      <xdr:col>2</xdr:col>
      <xdr:colOff>0</xdr:colOff>
      <xdr:row>52</xdr:row>
      <xdr:rowOff>0</xdr:rowOff>
    </xdr:from>
    <xdr:to>
      <xdr:col>3</xdr:col>
      <xdr:colOff>57150</xdr:colOff>
      <xdr:row>53</xdr:row>
      <xdr:rowOff>66675</xdr:rowOff>
    </xdr:to>
    <xdr:pic>
      <xdr:nvPicPr>
        <xdr:cNvPr id="2" name="Picture 2" hidden="1"/>
        <xdr:cNvPicPr preferRelativeResize="1">
          <a:picLocks noChangeAspect="1"/>
        </xdr:cNvPicPr>
      </xdr:nvPicPr>
      <xdr:blipFill>
        <a:blip r:embed="rId2"/>
        <a:stretch>
          <a:fillRect/>
        </a:stretch>
      </xdr:blipFill>
      <xdr:spPr>
        <a:xfrm>
          <a:off x="1752600" y="53378100"/>
          <a:ext cx="914400" cy="228600"/>
        </a:xfrm>
        <a:prstGeom prst="rect">
          <a:avLst/>
        </a:prstGeom>
        <a:noFill/>
        <a:ln w="9525" cmpd="sng">
          <a:noFill/>
        </a:ln>
      </xdr:spPr>
    </xdr:pic>
    <xdr:clientData/>
  </xdr:twoCellAnchor>
  <xdr:twoCellAnchor editAs="oneCell">
    <xdr:from>
      <xdr:col>2</xdr:col>
      <xdr:colOff>0</xdr:colOff>
      <xdr:row>52</xdr:row>
      <xdr:rowOff>0</xdr:rowOff>
    </xdr:from>
    <xdr:to>
      <xdr:col>3</xdr:col>
      <xdr:colOff>57150</xdr:colOff>
      <xdr:row>53</xdr:row>
      <xdr:rowOff>66675</xdr:rowOff>
    </xdr:to>
    <xdr:pic>
      <xdr:nvPicPr>
        <xdr:cNvPr id="3" name="Picture 3" hidden="1"/>
        <xdr:cNvPicPr preferRelativeResize="1">
          <a:picLocks noChangeAspect="1"/>
        </xdr:cNvPicPr>
      </xdr:nvPicPr>
      <xdr:blipFill>
        <a:blip r:embed="rId3"/>
        <a:stretch>
          <a:fillRect/>
        </a:stretch>
      </xdr:blipFill>
      <xdr:spPr>
        <a:xfrm>
          <a:off x="1752600" y="53378100"/>
          <a:ext cx="914400" cy="228600"/>
        </a:xfrm>
        <a:prstGeom prst="rect">
          <a:avLst/>
        </a:prstGeom>
        <a:noFill/>
        <a:ln w="9525" cmpd="sng">
          <a:noFill/>
        </a:ln>
      </xdr:spPr>
    </xdr:pic>
    <xdr:clientData/>
  </xdr:twoCellAnchor>
  <xdr:twoCellAnchor editAs="oneCell">
    <xdr:from>
      <xdr:col>2</xdr:col>
      <xdr:colOff>0</xdr:colOff>
      <xdr:row>52</xdr:row>
      <xdr:rowOff>0</xdr:rowOff>
    </xdr:from>
    <xdr:to>
      <xdr:col>3</xdr:col>
      <xdr:colOff>57150</xdr:colOff>
      <xdr:row>53</xdr:row>
      <xdr:rowOff>66675</xdr:rowOff>
    </xdr:to>
    <xdr:pic>
      <xdr:nvPicPr>
        <xdr:cNvPr id="4" name="Picture 4" hidden="1"/>
        <xdr:cNvPicPr preferRelativeResize="1">
          <a:picLocks noChangeAspect="1"/>
        </xdr:cNvPicPr>
      </xdr:nvPicPr>
      <xdr:blipFill>
        <a:blip r:embed="rId4"/>
        <a:stretch>
          <a:fillRect/>
        </a:stretch>
      </xdr:blipFill>
      <xdr:spPr>
        <a:xfrm>
          <a:off x="1752600" y="53378100"/>
          <a:ext cx="9144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2</xdr:col>
      <xdr:colOff>914400</xdr:colOff>
      <xdr:row>39</xdr:row>
      <xdr:rowOff>66675</xdr:rowOff>
    </xdr:to>
    <xdr:pic>
      <xdr:nvPicPr>
        <xdr:cNvPr id="1" name="Picture 1" hidden="1"/>
        <xdr:cNvPicPr preferRelativeResize="1">
          <a:picLocks noChangeAspect="1"/>
        </xdr:cNvPicPr>
      </xdr:nvPicPr>
      <xdr:blipFill>
        <a:blip r:embed="rId1"/>
        <a:stretch>
          <a:fillRect/>
        </a:stretch>
      </xdr:blipFill>
      <xdr:spPr>
        <a:xfrm>
          <a:off x="1562100" y="41624250"/>
          <a:ext cx="914400" cy="228600"/>
        </a:xfrm>
        <a:prstGeom prst="rect">
          <a:avLst/>
        </a:prstGeom>
        <a:noFill/>
        <a:ln w="9525" cmpd="sng">
          <a:noFill/>
        </a:ln>
      </xdr:spPr>
    </xdr:pic>
    <xdr:clientData/>
  </xdr:twoCellAnchor>
  <xdr:twoCellAnchor editAs="oneCell">
    <xdr:from>
      <xdr:col>2</xdr:col>
      <xdr:colOff>0</xdr:colOff>
      <xdr:row>38</xdr:row>
      <xdr:rowOff>0</xdr:rowOff>
    </xdr:from>
    <xdr:to>
      <xdr:col>2</xdr:col>
      <xdr:colOff>914400</xdr:colOff>
      <xdr:row>39</xdr:row>
      <xdr:rowOff>66675</xdr:rowOff>
    </xdr:to>
    <xdr:pic>
      <xdr:nvPicPr>
        <xdr:cNvPr id="2" name="Picture 2" hidden="1"/>
        <xdr:cNvPicPr preferRelativeResize="1">
          <a:picLocks noChangeAspect="1"/>
        </xdr:cNvPicPr>
      </xdr:nvPicPr>
      <xdr:blipFill>
        <a:blip r:embed="rId2"/>
        <a:stretch>
          <a:fillRect/>
        </a:stretch>
      </xdr:blipFill>
      <xdr:spPr>
        <a:xfrm>
          <a:off x="1562100" y="41624250"/>
          <a:ext cx="914400" cy="228600"/>
        </a:xfrm>
        <a:prstGeom prst="rect">
          <a:avLst/>
        </a:prstGeom>
        <a:noFill/>
        <a:ln w="9525" cmpd="sng">
          <a:noFill/>
        </a:ln>
      </xdr:spPr>
    </xdr:pic>
    <xdr:clientData/>
  </xdr:twoCellAnchor>
  <xdr:twoCellAnchor editAs="oneCell">
    <xdr:from>
      <xdr:col>2</xdr:col>
      <xdr:colOff>0</xdr:colOff>
      <xdr:row>38</xdr:row>
      <xdr:rowOff>0</xdr:rowOff>
    </xdr:from>
    <xdr:to>
      <xdr:col>2</xdr:col>
      <xdr:colOff>914400</xdr:colOff>
      <xdr:row>39</xdr:row>
      <xdr:rowOff>66675</xdr:rowOff>
    </xdr:to>
    <xdr:pic>
      <xdr:nvPicPr>
        <xdr:cNvPr id="3" name="Picture 3" hidden="1"/>
        <xdr:cNvPicPr preferRelativeResize="1">
          <a:picLocks noChangeAspect="1"/>
        </xdr:cNvPicPr>
      </xdr:nvPicPr>
      <xdr:blipFill>
        <a:blip r:embed="rId3"/>
        <a:stretch>
          <a:fillRect/>
        </a:stretch>
      </xdr:blipFill>
      <xdr:spPr>
        <a:xfrm>
          <a:off x="1562100" y="41624250"/>
          <a:ext cx="914400" cy="228600"/>
        </a:xfrm>
        <a:prstGeom prst="rect">
          <a:avLst/>
        </a:prstGeom>
        <a:noFill/>
        <a:ln w="9525" cmpd="sng">
          <a:noFill/>
        </a:ln>
      </xdr:spPr>
    </xdr:pic>
    <xdr:clientData/>
  </xdr:twoCellAnchor>
  <xdr:twoCellAnchor editAs="oneCell">
    <xdr:from>
      <xdr:col>2</xdr:col>
      <xdr:colOff>0</xdr:colOff>
      <xdr:row>38</xdr:row>
      <xdr:rowOff>0</xdr:rowOff>
    </xdr:from>
    <xdr:to>
      <xdr:col>2</xdr:col>
      <xdr:colOff>914400</xdr:colOff>
      <xdr:row>39</xdr:row>
      <xdr:rowOff>66675</xdr:rowOff>
    </xdr:to>
    <xdr:pic>
      <xdr:nvPicPr>
        <xdr:cNvPr id="4" name="Picture 4" hidden="1"/>
        <xdr:cNvPicPr preferRelativeResize="1">
          <a:picLocks noChangeAspect="1"/>
        </xdr:cNvPicPr>
      </xdr:nvPicPr>
      <xdr:blipFill>
        <a:blip r:embed="rId4"/>
        <a:stretch>
          <a:fillRect/>
        </a:stretch>
      </xdr:blipFill>
      <xdr:spPr>
        <a:xfrm>
          <a:off x="1562100" y="41624250"/>
          <a:ext cx="9144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53</xdr:row>
      <xdr:rowOff>0</xdr:rowOff>
    </xdr:from>
    <xdr:to>
      <xdr:col>3</xdr:col>
      <xdr:colOff>142875</xdr:colOff>
      <xdr:row>54</xdr:row>
      <xdr:rowOff>66675</xdr:rowOff>
    </xdr:to>
    <xdr:pic>
      <xdr:nvPicPr>
        <xdr:cNvPr id="1" name="Picture 1" hidden="1"/>
        <xdr:cNvPicPr preferRelativeResize="1">
          <a:picLocks noChangeAspect="1"/>
        </xdr:cNvPicPr>
      </xdr:nvPicPr>
      <xdr:blipFill>
        <a:blip r:embed="rId1"/>
        <a:stretch>
          <a:fillRect/>
        </a:stretch>
      </xdr:blipFill>
      <xdr:spPr>
        <a:xfrm>
          <a:off x="2047875" y="56273700"/>
          <a:ext cx="914400" cy="228600"/>
        </a:xfrm>
        <a:prstGeom prst="rect">
          <a:avLst/>
        </a:prstGeom>
        <a:noFill/>
        <a:ln w="9525" cmpd="sng">
          <a:noFill/>
        </a:ln>
      </xdr:spPr>
    </xdr:pic>
    <xdr:clientData/>
  </xdr:twoCellAnchor>
  <xdr:twoCellAnchor editAs="oneCell">
    <xdr:from>
      <xdr:col>2</xdr:col>
      <xdr:colOff>0</xdr:colOff>
      <xdr:row>53</xdr:row>
      <xdr:rowOff>0</xdr:rowOff>
    </xdr:from>
    <xdr:to>
      <xdr:col>3</xdr:col>
      <xdr:colOff>142875</xdr:colOff>
      <xdr:row>54</xdr:row>
      <xdr:rowOff>66675</xdr:rowOff>
    </xdr:to>
    <xdr:pic>
      <xdr:nvPicPr>
        <xdr:cNvPr id="2" name="Picture 2" hidden="1"/>
        <xdr:cNvPicPr preferRelativeResize="1">
          <a:picLocks noChangeAspect="1"/>
        </xdr:cNvPicPr>
      </xdr:nvPicPr>
      <xdr:blipFill>
        <a:blip r:embed="rId2"/>
        <a:stretch>
          <a:fillRect/>
        </a:stretch>
      </xdr:blipFill>
      <xdr:spPr>
        <a:xfrm>
          <a:off x="2047875" y="56273700"/>
          <a:ext cx="914400" cy="228600"/>
        </a:xfrm>
        <a:prstGeom prst="rect">
          <a:avLst/>
        </a:prstGeom>
        <a:noFill/>
        <a:ln w="9525" cmpd="sng">
          <a:noFill/>
        </a:ln>
      </xdr:spPr>
    </xdr:pic>
    <xdr:clientData/>
  </xdr:twoCellAnchor>
  <xdr:twoCellAnchor editAs="oneCell">
    <xdr:from>
      <xdr:col>2</xdr:col>
      <xdr:colOff>0</xdr:colOff>
      <xdr:row>53</xdr:row>
      <xdr:rowOff>0</xdr:rowOff>
    </xdr:from>
    <xdr:to>
      <xdr:col>3</xdr:col>
      <xdr:colOff>142875</xdr:colOff>
      <xdr:row>54</xdr:row>
      <xdr:rowOff>66675</xdr:rowOff>
    </xdr:to>
    <xdr:pic>
      <xdr:nvPicPr>
        <xdr:cNvPr id="3" name="Picture 3" hidden="1"/>
        <xdr:cNvPicPr preferRelativeResize="1">
          <a:picLocks noChangeAspect="1"/>
        </xdr:cNvPicPr>
      </xdr:nvPicPr>
      <xdr:blipFill>
        <a:blip r:embed="rId3"/>
        <a:stretch>
          <a:fillRect/>
        </a:stretch>
      </xdr:blipFill>
      <xdr:spPr>
        <a:xfrm>
          <a:off x="2047875" y="56273700"/>
          <a:ext cx="914400" cy="228600"/>
        </a:xfrm>
        <a:prstGeom prst="rect">
          <a:avLst/>
        </a:prstGeom>
        <a:noFill/>
        <a:ln w="9525" cmpd="sng">
          <a:noFill/>
        </a:ln>
      </xdr:spPr>
    </xdr:pic>
    <xdr:clientData/>
  </xdr:twoCellAnchor>
  <xdr:twoCellAnchor editAs="oneCell">
    <xdr:from>
      <xdr:col>2</xdr:col>
      <xdr:colOff>0</xdr:colOff>
      <xdr:row>53</xdr:row>
      <xdr:rowOff>0</xdr:rowOff>
    </xdr:from>
    <xdr:to>
      <xdr:col>3</xdr:col>
      <xdr:colOff>142875</xdr:colOff>
      <xdr:row>54</xdr:row>
      <xdr:rowOff>66675</xdr:rowOff>
    </xdr:to>
    <xdr:pic>
      <xdr:nvPicPr>
        <xdr:cNvPr id="4" name="Picture 4" hidden="1"/>
        <xdr:cNvPicPr preferRelativeResize="1">
          <a:picLocks noChangeAspect="1"/>
        </xdr:cNvPicPr>
      </xdr:nvPicPr>
      <xdr:blipFill>
        <a:blip r:embed="rId4"/>
        <a:stretch>
          <a:fillRect/>
        </a:stretch>
      </xdr:blipFill>
      <xdr:spPr>
        <a:xfrm>
          <a:off x="2047875" y="56273700"/>
          <a:ext cx="9144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3</xdr:col>
      <xdr:colOff>28575</xdr:colOff>
      <xdr:row>39</xdr:row>
      <xdr:rowOff>66675</xdr:rowOff>
    </xdr:to>
    <xdr:pic>
      <xdr:nvPicPr>
        <xdr:cNvPr id="1" name="Picture 1" hidden="1"/>
        <xdr:cNvPicPr preferRelativeResize="1">
          <a:picLocks noChangeAspect="1"/>
        </xdr:cNvPicPr>
      </xdr:nvPicPr>
      <xdr:blipFill>
        <a:blip r:embed="rId1"/>
        <a:stretch>
          <a:fillRect/>
        </a:stretch>
      </xdr:blipFill>
      <xdr:spPr>
        <a:xfrm>
          <a:off x="1562100" y="52120800"/>
          <a:ext cx="914400" cy="228600"/>
        </a:xfrm>
        <a:prstGeom prst="rect">
          <a:avLst/>
        </a:prstGeom>
        <a:noFill/>
        <a:ln w="9525" cmpd="sng">
          <a:noFill/>
        </a:ln>
      </xdr:spPr>
    </xdr:pic>
    <xdr:clientData/>
  </xdr:twoCellAnchor>
  <xdr:twoCellAnchor editAs="oneCell">
    <xdr:from>
      <xdr:col>2</xdr:col>
      <xdr:colOff>0</xdr:colOff>
      <xdr:row>38</xdr:row>
      <xdr:rowOff>0</xdr:rowOff>
    </xdr:from>
    <xdr:to>
      <xdr:col>3</xdr:col>
      <xdr:colOff>28575</xdr:colOff>
      <xdr:row>39</xdr:row>
      <xdr:rowOff>66675</xdr:rowOff>
    </xdr:to>
    <xdr:pic>
      <xdr:nvPicPr>
        <xdr:cNvPr id="2" name="Picture 2" hidden="1"/>
        <xdr:cNvPicPr preferRelativeResize="1">
          <a:picLocks noChangeAspect="1"/>
        </xdr:cNvPicPr>
      </xdr:nvPicPr>
      <xdr:blipFill>
        <a:blip r:embed="rId2"/>
        <a:stretch>
          <a:fillRect/>
        </a:stretch>
      </xdr:blipFill>
      <xdr:spPr>
        <a:xfrm>
          <a:off x="1562100" y="52120800"/>
          <a:ext cx="914400" cy="228600"/>
        </a:xfrm>
        <a:prstGeom prst="rect">
          <a:avLst/>
        </a:prstGeom>
        <a:noFill/>
        <a:ln w="9525" cmpd="sng">
          <a:noFill/>
        </a:ln>
      </xdr:spPr>
    </xdr:pic>
    <xdr:clientData/>
  </xdr:twoCellAnchor>
  <xdr:twoCellAnchor editAs="oneCell">
    <xdr:from>
      <xdr:col>2</xdr:col>
      <xdr:colOff>0</xdr:colOff>
      <xdr:row>38</xdr:row>
      <xdr:rowOff>0</xdr:rowOff>
    </xdr:from>
    <xdr:to>
      <xdr:col>3</xdr:col>
      <xdr:colOff>28575</xdr:colOff>
      <xdr:row>39</xdr:row>
      <xdr:rowOff>66675</xdr:rowOff>
    </xdr:to>
    <xdr:pic>
      <xdr:nvPicPr>
        <xdr:cNvPr id="3" name="Picture 3" hidden="1"/>
        <xdr:cNvPicPr preferRelativeResize="1">
          <a:picLocks noChangeAspect="1"/>
        </xdr:cNvPicPr>
      </xdr:nvPicPr>
      <xdr:blipFill>
        <a:blip r:embed="rId3"/>
        <a:stretch>
          <a:fillRect/>
        </a:stretch>
      </xdr:blipFill>
      <xdr:spPr>
        <a:xfrm>
          <a:off x="1562100" y="52120800"/>
          <a:ext cx="914400" cy="228600"/>
        </a:xfrm>
        <a:prstGeom prst="rect">
          <a:avLst/>
        </a:prstGeom>
        <a:noFill/>
        <a:ln w="9525" cmpd="sng">
          <a:noFill/>
        </a:ln>
      </xdr:spPr>
    </xdr:pic>
    <xdr:clientData/>
  </xdr:twoCellAnchor>
  <xdr:twoCellAnchor editAs="oneCell">
    <xdr:from>
      <xdr:col>2</xdr:col>
      <xdr:colOff>0</xdr:colOff>
      <xdr:row>38</xdr:row>
      <xdr:rowOff>0</xdr:rowOff>
    </xdr:from>
    <xdr:to>
      <xdr:col>3</xdr:col>
      <xdr:colOff>28575</xdr:colOff>
      <xdr:row>39</xdr:row>
      <xdr:rowOff>66675</xdr:rowOff>
    </xdr:to>
    <xdr:pic>
      <xdr:nvPicPr>
        <xdr:cNvPr id="4" name="Picture 4" hidden="1"/>
        <xdr:cNvPicPr preferRelativeResize="1">
          <a:picLocks noChangeAspect="1"/>
        </xdr:cNvPicPr>
      </xdr:nvPicPr>
      <xdr:blipFill>
        <a:blip r:embed="rId4"/>
        <a:stretch>
          <a:fillRect/>
        </a:stretch>
      </xdr:blipFill>
      <xdr:spPr>
        <a:xfrm>
          <a:off x="1562100" y="52120800"/>
          <a:ext cx="9144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18</xdr:row>
      <xdr:rowOff>0</xdr:rowOff>
    </xdr:from>
    <xdr:to>
      <xdr:col>3</xdr:col>
      <xdr:colOff>85725</xdr:colOff>
      <xdr:row>19</xdr:row>
      <xdr:rowOff>66675</xdr:rowOff>
    </xdr:to>
    <xdr:pic>
      <xdr:nvPicPr>
        <xdr:cNvPr id="1" name="Picture 1" hidden="1"/>
        <xdr:cNvPicPr preferRelativeResize="1">
          <a:picLocks noChangeAspect="1"/>
        </xdr:cNvPicPr>
      </xdr:nvPicPr>
      <xdr:blipFill>
        <a:blip r:embed="rId1"/>
        <a:stretch>
          <a:fillRect/>
        </a:stretch>
      </xdr:blipFill>
      <xdr:spPr>
        <a:xfrm>
          <a:off x="1562100" y="14363700"/>
          <a:ext cx="914400" cy="228600"/>
        </a:xfrm>
        <a:prstGeom prst="rect">
          <a:avLst/>
        </a:prstGeom>
        <a:noFill/>
        <a:ln w="9525" cmpd="sng">
          <a:noFill/>
        </a:ln>
      </xdr:spPr>
    </xdr:pic>
    <xdr:clientData/>
  </xdr:twoCellAnchor>
  <xdr:twoCellAnchor editAs="oneCell">
    <xdr:from>
      <xdr:col>2</xdr:col>
      <xdr:colOff>0</xdr:colOff>
      <xdr:row>18</xdr:row>
      <xdr:rowOff>0</xdr:rowOff>
    </xdr:from>
    <xdr:to>
      <xdr:col>3</xdr:col>
      <xdr:colOff>85725</xdr:colOff>
      <xdr:row>19</xdr:row>
      <xdr:rowOff>66675</xdr:rowOff>
    </xdr:to>
    <xdr:pic>
      <xdr:nvPicPr>
        <xdr:cNvPr id="2" name="Picture 2" hidden="1"/>
        <xdr:cNvPicPr preferRelativeResize="1">
          <a:picLocks noChangeAspect="1"/>
        </xdr:cNvPicPr>
      </xdr:nvPicPr>
      <xdr:blipFill>
        <a:blip r:embed="rId2"/>
        <a:stretch>
          <a:fillRect/>
        </a:stretch>
      </xdr:blipFill>
      <xdr:spPr>
        <a:xfrm>
          <a:off x="1562100" y="14363700"/>
          <a:ext cx="914400" cy="228600"/>
        </a:xfrm>
        <a:prstGeom prst="rect">
          <a:avLst/>
        </a:prstGeom>
        <a:noFill/>
        <a:ln w="9525" cmpd="sng">
          <a:noFill/>
        </a:ln>
      </xdr:spPr>
    </xdr:pic>
    <xdr:clientData/>
  </xdr:twoCellAnchor>
  <xdr:twoCellAnchor editAs="oneCell">
    <xdr:from>
      <xdr:col>2</xdr:col>
      <xdr:colOff>0</xdr:colOff>
      <xdr:row>18</xdr:row>
      <xdr:rowOff>0</xdr:rowOff>
    </xdr:from>
    <xdr:to>
      <xdr:col>3</xdr:col>
      <xdr:colOff>85725</xdr:colOff>
      <xdr:row>19</xdr:row>
      <xdr:rowOff>66675</xdr:rowOff>
    </xdr:to>
    <xdr:pic>
      <xdr:nvPicPr>
        <xdr:cNvPr id="3" name="Picture 3" hidden="1"/>
        <xdr:cNvPicPr preferRelativeResize="1">
          <a:picLocks noChangeAspect="1"/>
        </xdr:cNvPicPr>
      </xdr:nvPicPr>
      <xdr:blipFill>
        <a:blip r:embed="rId3"/>
        <a:stretch>
          <a:fillRect/>
        </a:stretch>
      </xdr:blipFill>
      <xdr:spPr>
        <a:xfrm>
          <a:off x="1562100" y="14363700"/>
          <a:ext cx="914400" cy="228600"/>
        </a:xfrm>
        <a:prstGeom prst="rect">
          <a:avLst/>
        </a:prstGeom>
        <a:noFill/>
        <a:ln w="9525" cmpd="sng">
          <a:noFill/>
        </a:ln>
      </xdr:spPr>
    </xdr:pic>
    <xdr:clientData/>
  </xdr:twoCellAnchor>
  <xdr:twoCellAnchor editAs="oneCell">
    <xdr:from>
      <xdr:col>2</xdr:col>
      <xdr:colOff>0</xdr:colOff>
      <xdr:row>18</xdr:row>
      <xdr:rowOff>0</xdr:rowOff>
    </xdr:from>
    <xdr:to>
      <xdr:col>3</xdr:col>
      <xdr:colOff>85725</xdr:colOff>
      <xdr:row>19</xdr:row>
      <xdr:rowOff>66675</xdr:rowOff>
    </xdr:to>
    <xdr:pic>
      <xdr:nvPicPr>
        <xdr:cNvPr id="4" name="Picture 4" hidden="1"/>
        <xdr:cNvPicPr preferRelativeResize="1">
          <a:picLocks noChangeAspect="1"/>
        </xdr:cNvPicPr>
      </xdr:nvPicPr>
      <xdr:blipFill>
        <a:blip r:embed="rId4"/>
        <a:stretch>
          <a:fillRect/>
        </a:stretch>
      </xdr:blipFill>
      <xdr:spPr>
        <a:xfrm>
          <a:off x="1562100" y="14363700"/>
          <a:ext cx="9144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0</xdr:rowOff>
    </xdr:from>
    <xdr:to>
      <xdr:col>3</xdr:col>
      <xdr:colOff>190500</xdr:colOff>
      <xdr:row>15</xdr:row>
      <xdr:rowOff>66675</xdr:rowOff>
    </xdr:to>
    <xdr:pic>
      <xdr:nvPicPr>
        <xdr:cNvPr id="1" name="Picture 1" hidden="1"/>
        <xdr:cNvPicPr preferRelativeResize="1">
          <a:picLocks noChangeAspect="1"/>
        </xdr:cNvPicPr>
      </xdr:nvPicPr>
      <xdr:blipFill>
        <a:blip r:embed="rId1"/>
        <a:stretch>
          <a:fillRect/>
        </a:stretch>
      </xdr:blipFill>
      <xdr:spPr>
        <a:xfrm>
          <a:off x="1638300" y="15649575"/>
          <a:ext cx="914400" cy="228600"/>
        </a:xfrm>
        <a:prstGeom prst="rect">
          <a:avLst/>
        </a:prstGeom>
        <a:noFill/>
        <a:ln w="9525" cmpd="sng">
          <a:noFill/>
        </a:ln>
      </xdr:spPr>
    </xdr:pic>
    <xdr:clientData/>
  </xdr:twoCellAnchor>
  <xdr:twoCellAnchor editAs="oneCell">
    <xdr:from>
      <xdr:col>2</xdr:col>
      <xdr:colOff>0</xdr:colOff>
      <xdr:row>14</xdr:row>
      <xdr:rowOff>0</xdr:rowOff>
    </xdr:from>
    <xdr:to>
      <xdr:col>3</xdr:col>
      <xdr:colOff>190500</xdr:colOff>
      <xdr:row>15</xdr:row>
      <xdr:rowOff>66675</xdr:rowOff>
    </xdr:to>
    <xdr:pic>
      <xdr:nvPicPr>
        <xdr:cNvPr id="2" name="Picture 2" hidden="1"/>
        <xdr:cNvPicPr preferRelativeResize="1">
          <a:picLocks noChangeAspect="1"/>
        </xdr:cNvPicPr>
      </xdr:nvPicPr>
      <xdr:blipFill>
        <a:blip r:embed="rId2"/>
        <a:stretch>
          <a:fillRect/>
        </a:stretch>
      </xdr:blipFill>
      <xdr:spPr>
        <a:xfrm>
          <a:off x="1638300" y="15649575"/>
          <a:ext cx="914400" cy="228600"/>
        </a:xfrm>
        <a:prstGeom prst="rect">
          <a:avLst/>
        </a:prstGeom>
        <a:noFill/>
        <a:ln w="9525" cmpd="sng">
          <a:noFill/>
        </a:ln>
      </xdr:spPr>
    </xdr:pic>
    <xdr:clientData/>
  </xdr:twoCellAnchor>
  <xdr:twoCellAnchor editAs="oneCell">
    <xdr:from>
      <xdr:col>2</xdr:col>
      <xdr:colOff>0</xdr:colOff>
      <xdr:row>14</xdr:row>
      <xdr:rowOff>0</xdr:rowOff>
    </xdr:from>
    <xdr:to>
      <xdr:col>3</xdr:col>
      <xdr:colOff>190500</xdr:colOff>
      <xdr:row>15</xdr:row>
      <xdr:rowOff>66675</xdr:rowOff>
    </xdr:to>
    <xdr:pic>
      <xdr:nvPicPr>
        <xdr:cNvPr id="3" name="Picture 3" hidden="1"/>
        <xdr:cNvPicPr preferRelativeResize="1">
          <a:picLocks noChangeAspect="1"/>
        </xdr:cNvPicPr>
      </xdr:nvPicPr>
      <xdr:blipFill>
        <a:blip r:embed="rId3"/>
        <a:stretch>
          <a:fillRect/>
        </a:stretch>
      </xdr:blipFill>
      <xdr:spPr>
        <a:xfrm>
          <a:off x="1638300" y="15649575"/>
          <a:ext cx="914400" cy="228600"/>
        </a:xfrm>
        <a:prstGeom prst="rect">
          <a:avLst/>
        </a:prstGeom>
        <a:noFill/>
        <a:ln w="9525" cmpd="sng">
          <a:noFill/>
        </a:ln>
      </xdr:spPr>
    </xdr:pic>
    <xdr:clientData/>
  </xdr:twoCellAnchor>
  <xdr:twoCellAnchor editAs="oneCell">
    <xdr:from>
      <xdr:col>2</xdr:col>
      <xdr:colOff>0</xdr:colOff>
      <xdr:row>14</xdr:row>
      <xdr:rowOff>0</xdr:rowOff>
    </xdr:from>
    <xdr:to>
      <xdr:col>3</xdr:col>
      <xdr:colOff>190500</xdr:colOff>
      <xdr:row>15</xdr:row>
      <xdr:rowOff>66675</xdr:rowOff>
    </xdr:to>
    <xdr:pic>
      <xdr:nvPicPr>
        <xdr:cNvPr id="4" name="Picture 4" hidden="1"/>
        <xdr:cNvPicPr preferRelativeResize="1">
          <a:picLocks noChangeAspect="1"/>
        </xdr:cNvPicPr>
      </xdr:nvPicPr>
      <xdr:blipFill>
        <a:blip r:embed="rId4"/>
        <a:stretch>
          <a:fillRect/>
        </a:stretch>
      </xdr:blipFill>
      <xdr:spPr>
        <a:xfrm>
          <a:off x="1638300" y="15649575"/>
          <a:ext cx="9144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32</xdr:row>
      <xdr:rowOff>0</xdr:rowOff>
    </xdr:from>
    <xdr:to>
      <xdr:col>3</xdr:col>
      <xdr:colOff>152400</xdr:colOff>
      <xdr:row>33</xdr:row>
      <xdr:rowOff>66675</xdr:rowOff>
    </xdr:to>
    <xdr:pic>
      <xdr:nvPicPr>
        <xdr:cNvPr id="1" name="Picture 2" hidden="1"/>
        <xdr:cNvPicPr preferRelativeResize="1">
          <a:picLocks noChangeAspect="1"/>
        </xdr:cNvPicPr>
      </xdr:nvPicPr>
      <xdr:blipFill>
        <a:blip r:embed="rId1"/>
        <a:stretch>
          <a:fillRect/>
        </a:stretch>
      </xdr:blipFill>
      <xdr:spPr>
        <a:xfrm>
          <a:off x="1562100" y="72447150"/>
          <a:ext cx="914400" cy="228600"/>
        </a:xfrm>
        <a:prstGeom prst="rect">
          <a:avLst/>
        </a:prstGeom>
        <a:noFill/>
        <a:ln w="9525" cmpd="sng">
          <a:noFill/>
        </a:ln>
      </xdr:spPr>
    </xdr:pic>
    <xdr:clientData/>
  </xdr:twoCellAnchor>
  <xdr:twoCellAnchor editAs="oneCell">
    <xdr:from>
      <xdr:col>2</xdr:col>
      <xdr:colOff>0</xdr:colOff>
      <xdr:row>33</xdr:row>
      <xdr:rowOff>0</xdr:rowOff>
    </xdr:from>
    <xdr:to>
      <xdr:col>3</xdr:col>
      <xdr:colOff>152400</xdr:colOff>
      <xdr:row>34</xdr:row>
      <xdr:rowOff>66675</xdr:rowOff>
    </xdr:to>
    <xdr:pic>
      <xdr:nvPicPr>
        <xdr:cNvPr id="2" name="Picture 3" hidden="1"/>
        <xdr:cNvPicPr preferRelativeResize="1">
          <a:picLocks noChangeAspect="1"/>
        </xdr:cNvPicPr>
      </xdr:nvPicPr>
      <xdr:blipFill>
        <a:blip r:embed="rId2"/>
        <a:stretch>
          <a:fillRect/>
        </a:stretch>
      </xdr:blipFill>
      <xdr:spPr>
        <a:xfrm>
          <a:off x="1562100" y="72609075"/>
          <a:ext cx="914400" cy="228600"/>
        </a:xfrm>
        <a:prstGeom prst="rect">
          <a:avLst/>
        </a:prstGeom>
        <a:noFill/>
        <a:ln w="9525" cmpd="sng">
          <a:noFill/>
        </a:ln>
      </xdr:spPr>
    </xdr:pic>
    <xdr:clientData/>
  </xdr:twoCellAnchor>
  <xdr:twoCellAnchor editAs="oneCell">
    <xdr:from>
      <xdr:col>2</xdr:col>
      <xdr:colOff>0</xdr:colOff>
      <xdr:row>33</xdr:row>
      <xdr:rowOff>0</xdr:rowOff>
    </xdr:from>
    <xdr:to>
      <xdr:col>3</xdr:col>
      <xdr:colOff>152400</xdr:colOff>
      <xdr:row>34</xdr:row>
      <xdr:rowOff>66675</xdr:rowOff>
    </xdr:to>
    <xdr:pic>
      <xdr:nvPicPr>
        <xdr:cNvPr id="3" name="Picture 4" hidden="1"/>
        <xdr:cNvPicPr preferRelativeResize="1">
          <a:picLocks noChangeAspect="1"/>
        </xdr:cNvPicPr>
      </xdr:nvPicPr>
      <xdr:blipFill>
        <a:blip r:embed="rId3"/>
        <a:stretch>
          <a:fillRect/>
        </a:stretch>
      </xdr:blipFill>
      <xdr:spPr>
        <a:xfrm>
          <a:off x="1562100" y="72609075"/>
          <a:ext cx="914400" cy="228600"/>
        </a:xfrm>
        <a:prstGeom prst="rect">
          <a:avLst/>
        </a:prstGeom>
        <a:noFill/>
        <a:ln w="9525" cmpd="sng">
          <a:noFill/>
        </a:ln>
      </xdr:spPr>
    </xdr:pic>
    <xdr:clientData/>
  </xdr:twoCellAnchor>
  <xdr:twoCellAnchor editAs="oneCell">
    <xdr:from>
      <xdr:col>2</xdr:col>
      <xdr:colOff>0</xdr:colOff>
      <xdr:row>33</xdr:row>
      <xdr:rowOff>0</xdr:rowOff>
    </xdr:from>
    <xdr:to>
      <xdr:col>3</xdr:col>
      <xdr:colOff>152400</xdr:colOff>
      <xdr:row>34</xdr:row>
      <xdr:rowOff>66675</xdr:rowOff>
    </xdr:to>
    <xdr:pic>
      <xdr:nvPicPr>
        <xdr:cNvPr id="4" name="Picture 5" hidden="1"/>
        <xdr:cNvPicPr preferRelativeResize="1">
          <a:picLocks noChangeAspect="1"/>
        </xdr:cNvPicPr>
      </xdr:nvPicPr>
      <xdr:blipFill>
        <a:blip r:embed="rId4"/>
        <a:stretch>
          <a:fillRect/>
        </a:stretch>
      </xdr:blipFill>
      <xdr:spPr>
        <a:xfrm>
          <a:off x="1562100" y="72609075"/>
          <a:ext cx="9144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9</xdr:row>
      <xdr:rowOff>0</xdr:rowOff>
    </xdr:from>
    <xdr:to>
      <xdr:col>3</xdr:col>
      <xdr:colOff>85725</xdr:colOff>
      <xdr:row>10</xdr:row>
      <xdr:rowOff>66675</xdr:rowOff>
    </xdr:to>
    <xdr:pic>
      <xdr:nvPicPr>
        <xdr:cNvPr id="1" name="Picture 1" hidden="1"/>
        <xdr:cNvPicPr preferRelativeResize="1">
          <a:picLocks noChangeAspect="1"/>
        </xdr:cNvPicPr>
      </xdr:nvPicPr>
      <xdr:blipFill>
        <a:blip r:embed="rId1"/>
        <a:stretch>
          <a:fillRect/>
        </a:stretch>
      </xdr:blipFill>
      <xdr:spPr>
        <a:xfrm>
          <a:off x="1562100" y="6467475"/>
          <a:ext cx="914400" cy="228600"/>
        </a:xfrm>
        <a:prstGeom prst="rect">
          <a:avLst/>
        </a:prstGeom>
        <a:noFill/>
        <a:ln w="9525" cmpd="sng">
          <a:noFill/>
        </a:ln>
      </xdr:spPr>
    </xdr:pic>
    <xdr:clientData/>
  </xdr:twoCellAnchor>
  <xdr:twoCellAnchor editAs="oneCell">
    <xdr:from>
      <xdr:col>2</xdr:col>
      <xdr:colOff>0</xdr:colOff>
      <xdr:row>9</xdr:row>
      <xdr:rowOff>0</xdr:rowOff>
    </xdr:from>
    <xdr:to>
      <xdr:col>3</xdr:col>
      <xdr:colOff>85725</xdr:colOff>
      <xdr:row>10</xdr:row>
      <xdr:rowOff>66675</xdr:rowOff>
    </xdr:to>
    <xdr:pic>
      <xdr:nvPicPr>
        <xdr:cNvPr id="2" name="Picture 2" hidden="1"/>
        <xdr:cNvPicPr preferRelativeResize="1">
          <a:picLocks noChangeAspect="1"/>
        </xdr:cNvPicPr>
      </xdr:nvPicPr>
      <xdr:blipFill>
        <a:blip r:embed="rId2"/>
        <a:stretch>
          <a:fillRect/>
        </a:stretch>
      </xdr:blipFill>
      <xdr:spPr>
        <a:xfrm>
          <a:off x="1562100" y="6467475"/>
          <a:ext cx="914400" cy="228600"/>
        </a:xfrm>
        <a:prstGeom prst="rect">
          <a:avLst/>
        </a:prstGeom>
        <a:noFill/>
        <a:ln w="9525" cmpd="sng">
          <a:noFill/>
        </a:ln>
      </xdr:spPr>
    </xdr:pic>
    <xdr:clientData/>
  </xdr:twoCellAnchor>
  <xdr:twoCellAnchor editAs="oneCell">
    <xdr:from>
      <xdr:col>2</xdr:col>
      <xdr:colOff>0</xdr:colOff>
      <xdr:row>9</xdr:row>
      <xdr:rowOff>0</xdr:rowOff>
    </xdr:from>
    <xdr:to>
      <xdr:col>3</xdr:col>
      <xdr:colOff>85725</xdr:colOff>
      <xdr:row>10</xdr:row>
      <xdr:rowOff>66675</xdr:rowOff>
    </xdr:to>
    <xdr:pic>
      <xdr:nvPicPr>
        <xdr:cNvPr id="3" name="Picture 3" hidden="1"/>
        <xdr:cNvPicPr preferRelativeResize="1">
          <a:picLocks noChangeAspect="1"/>
        </xdr:cNvPicPr>
      </xdr:nvPicPr>
      <xdr:blipFill>
        <a:blip r:embed="rId3"/>
        <a:stretch>
          <a:fillRect/>
        </a:stretch>
      </xdr:blipFill>
      <xdr:spPr>
        <a:xfrm>
          <a:off x="1562100" y="6467475"/>
          <a:ext cx="914400" cy="228600"/>
        </a:xfrm>
        <a:prstGeom prst="rect">
          <a:avLst/>
        </a:prstGeom>
        <a:noFill/>
        <a:ln w="9525" cmpd="sng">
          <a:noFill/>
        </a:ln>
      </xdr:spPr>
    </xdr:pic>
    <xdr:clientData/>
  </xdr:twoCellAnchor>
  <xdr:twoCellAnchor editAs="oneCell">
    <xdr:from>
      <xdr:col>2</xdr:col>
      <xdr:colOff>0</xdr:colOff>
      <xdr:row>9</xdr:row>
      <xdr:rowOff>0</xdr:rowOff>
    </xdr:from>
    <xdr:to>
      <xdr:col>3</xdr:col>
      <xdr:colOff>85725</xdr:colOff>
      <xdr:row>10</xdr:row>
      <xdr:rowOff>66675</xdr:rowOff>
    </xdr:to>
    <xdr:pic>
      <xdr:nvPicPr>
        <xdr:cNvPr id="4" name="Picture 4" hidden="1"/>
        <xdr:cNvPicPr preferRelativeResize="1">
          <a:picLocks noChangeAspect="1"/>
        </xdr:cNvPicPr>
      </xdr:nvPicPr>
      <xdr:blipFill>
        <a:blip r:embed="rId4"/>
        <a:stretch>
          <a:fillRect/>
        </a:stretch>
      </xdr:blipFill>
      <xdr:spPr>
        <a:xfrm>
          <a:off x="1562100" y="6467475"/>
          <a:ext cx="9144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LMAC_SummaryTable_02-2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_valu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ljohns@ladwp.com" TargetMode="External" /><Relationship Id="rId2" Type="http://schemas.openxmlformats.org/officeDocument/2006/relationships/hyperlink" Target="mailto:ljohns@ladwp.com" TargetMode="External" /><Relationship Id="rId3" Type="http://schemas.openxmlformats.org/officeDocument/2006/relationships/comments" Target="../comments10.xml" /><Relationship Id="rId4" Type="http://schemas.openxmlformats.org/officeDocument/2006/relationships/vmlDrawing" Target="../drawings/vmlDrawing8.vml" /><Relationship Id="rId5" Type="http://schemas.openxmlformats.org/officeDocument/2006/relationships/drawing" Target="../drawings/drawing6.xml" /><Relationship Id="rId6"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mailto:gwatana@smud.org/abatter@smud.org" TargetMode="External" /><Relationship Id="rId2" Type="http://schemas.openxmlformats.org/officeDocument/2006/relationships/hyperlink" Target="mailto:gwatana@smud.org/abatter@smud.org" TargetMode="External" /><Relationship Id="rId3" Type="http://schemas.openxmlformats.org/officeDocument/2006/relationships/hyperlink" Target="mailto:gwatana@smud.org/abatter@smud.org" TargetMode="External" /><Relationship Id="rId4" Type="http://schemas.openxmlformats.org/officeDocument/2006/relationships/hyperlink" Target="mailto:gwatana@smud.org/abatter@smud.org" TargetMode="External" /><Relationship Id="rId5" Type="http://schemas.openxmlformats.org/officeDocument/2006/relationships/hyperlink" Target="mailto:bthoma2@smud.org" TargetMode="External" /><Relationship Id="rId6" Type="http://schemas.openxmlformats.org/officeDocument/2006/relationships/hyperlink" Target="mailto:rchan@smud.org" TargetMode="External" /><Relationship Id="rId7" Type="http://schemas.openxmlformats.org/officeDocument/2006/relationships/hyperlink" Target="mailto:gwatana@smud.org" TargetMode="External" /><Relationship Id="rId8" Type="http://schemas.openxmlformats.org/officeDocument/2006/relationships/hyperlink" Target="mailto:mkellow@smud.org" TargetMode="External" /><Relationship Id="rId9" Type="http://schemas.openxmlformats.org/officeDocument/2006/relationships/hyperlink" Target="mailto:gwatana@smud.org/abatter@smud.org" TargetMode="External" /><Relationship Id="rId10" Type="http://schemas.openxmlformats.org/officeDocument/2006/relationships/hyperlink" Target="mailto:pwiesne@smud.org" TargetMode="External" /><Relationship Id="rId11" Type="http://schemas.openxmlformats.org/officeDocument/2006/relationships/hyperlink" Target="mailto:msarkov@smud.org" TargetMode="External" /><Relationship Id="rId12" Type="http://schemas.openxmlformats.org/officeDocument/2006/relationships/hyperlink" Target="mailto:dmark@smud.org" TargetMode="External" /><Relationship Id="rId13" Type="http://schemas.openxmlformats.org/officeDocument/2006/relationships/hyperlink" Target="mailto:rwiesne@smud.org" TargetMode="External" /><Relationship Id="rId14" Type="http://schemas.openxmlformats.org/officeDocument/2006/relationships/hyperlink" Target="mailto:khapps@smud.org" TargetMode="External" /><Relationship Id="rId15" Type="http://schemas.openxmlformats.org/officeDocument/2006/relationships/hyperlink" Target="mailto:cnovak@smud.org" TargetMode="External" /><Relationship Id="rId16" Type="http://schemas.openxmlformats.org/officeDocument/2006/relationships/hyperlink" Target="mailto:cnovak@smud.org" TargetMode="External" /><Relationship Id="rId17" Type="http://schemas.openxmlformats.org/officeDocument/2006/relationships/hyperlink" Target="mailto:cnovak@smud.org" TargetMode="External" /><Relationship Id="rId18" Type="http://schemas.openxmlformats.org/officeDocument/2006/relationships/hyperlink" Target="mailto:cnovak@smud.org" TargetMode="External" /><Relationship Id="rId19" Type="http://schemas.openxmlformats.org/officeDocument/2006/relationships/hyperlink" Target="mailto:cnovak@smud.org" TargetMode="External" /><Relationship Id="rId20" Type="http://schemas.openxmlformats.org/officeDocument/2006/relationships/hyperlink" Target="mailto:syee@smud.org" TargetMode="External" /><Relationship Id="rId21" Type="http://schemas.openxmlformats.org/officeDocument/2006/relationships/hyperlink" Target="mailto:rwiesne@smud.org" TargetMode="External" /><Relationship Id="rId22" Type="http://schemas.openxmlformats.org/officeDocument/2006/relationships/hyperlink" Target="mailto:msarkov@smud.org" TargetMode="External" /><Relationship Id="rId23" Type="http://schemas.openxmlformats.org/officeDocument/2006/relationships/hyperlink" Target="mailto:wlindel@smud.org" TargetMode="External" /><Relationship Id="rId24" Type="http://schemas.openxmlformats.org/officeDocument/2006/relationships/hyperlink" Target="mailto:chappell@h-m-g.com" TargetMode="External" /><Relationship Id="rId25" Type="http://schemas.openxmlformats.org/officeDocument/2006/relationships/hyperlink" Target="mailto:vwood@smud.org" TargetMode="External" /><Relationship Id="rId26" Type="http://schemas.openxmlformats.org/officeDocument/2006/relationships/hyperlink" Target="mailto:mattb@rlw.com" TargetMode="External" /><Relationship Id="rId27" Type="http://schemas.openxmlformats.org/officeDocument/2006/relationships/hyperlink" Target="mailto:vwood@smud.org" TargetMode="External" /><Relationship Id="rId28" Type="http://schemas.openxmlformats.org/officeDocument/2006/relationships/hyperlink" Target="mailto:roberg@smud.org" TargetMode="External" /><Relationship Id="rId29" Type="http://schemas.openxmlformats.org/officeDocument/2006/relationships/hyperlink" Target="mailto:mattb@rlw.com" TargetMode="External" /><Relationship Id="rId30" Type="http://schemas.openxmlformats.org/officeDocument/2006/relationships/hyperlink" Target="mailto:mattb@rlw.com" TargetMode="External" /><Relationship Id="rId31" Type="http://schemas.openxmlformats.org/officeDocument/2006/relationships/hyperlink" Target="mailto:roberg@smud.org" TargetMode="External" /><Relationship Id="rId32" Type="http://schemas.openxmlformats.org/officeDocument/2006/relationships/hyperlink" Target="mailto:wbos@smud.org" TargetMode="External" /><Relationship Id="rId33" Type="http://schemas.openxmlformats.org/officeDocument/2006/relationships/hyperlink" Target="mailto:roberg@smud.org" TargetMode="External" /><Relationship Id="rId34" Type="http://schemas.openxmlformats.org/officeDocument/2006/relationships/hyperlink" Target="mailto:wbos@smud.org" TargetMode="External" /><Relationship Id="rId35" Type="http://schemas.openxmlformats.org/officeDocument/2006/relationships/hyperlink" Target="mailto:mattb@rlw.com" TargetMode="External" /><Relationship Id="rId36" Type="http://schemas.openxmlformats.org/officeDocument/2006/relationships/hyperlink" Target="mailto:wlindel@smud.org" TargetMode="External" /><Relationship Id="rId37" Type="http://schemas.openxmlformats.org/officeDocument/2006/relationships/hyperlink" Target="mailto:wlindel@smud.org" TargetMode="External" /><Relationship Id="rId38" Type="http://schemas.openxmlformats.org/officeDocument/2006/relationships/hyperlink" Target="mailto:mattb@rlw.com" TargetMode="External" /><Relationship Id="rId39" Type="http://schemas.openxmlformats.org/officeDocument/2006/relationships/hyperlink" Target="mailto:wlindel@smud.org" TargetMode="External" /><Relationship Id="rId40" Type="http://schemas.openxmlformats.org/officeDocument/2006/relationships/hyperlink" Target="mailto:wlindel@smud.org" TargetMode="External" /><Relationship Id="rId41" Type="http://schemas.openxmlformats.org/officeDocument/2006/relationships/hyperlink" Target="mailto:wbos@smud.org" TargetMode="External" /><Relationship Id="rId42" Type="http://schemas.openxmlformats.org/officeDocument/2006/relationships/hyperlink" Target="mailto:wlindel@smud.org" TargetMode="External" /><Relationship Id="rId43" Type="http://schemas.openxmlformats.org/officeDocument/2006/relationships/hyperlink" Target="mailto:wlindel@smud.org" TargetMode="External" /><Relationship Id="rId44" Type="http://schemas.openxmlformats.org/officeDocument/2006/relationships/hyperlink" Target="mailto:roberg@smud.org" TargetMode="External" /><Relationship Id="rId45" Type="http://schemas.openxmlformats.org/officeDocument/2006/relationships/hyperlink" Target="mailto:roberg@smud.org" TargetMode="External" /><Relationship Id="rId46" Type="http://schemas.openxmlformats.org/officeDocument/2006/relationships/hyperlink" Target="mailto:cnovak@smud.org" TargetMode="External" /><Relationship Id="rId47" Type="http://schemas.openxmlformats.org/officeDocument/2006/relationships/hyperlink" Target="mailto:wlindel@smud.org" TargetMode="External" /><Relationship Id="rId48" Type="http://schemas.openxmlformats.org/officeDocument/2006/relationships/comments" Target="../comments11.xml" /><Relationship Id="rId49" Type="http://schemas.openxmlformats.org/officeDocument/2006/relationships/vmlDrawing" Target="../drawings/vmlDrawing9.vml" /><Relationship Id="rId50" Type="http://schemas.openxmlformats.org/officeDocument/2006/relationships/drawing" Target="../drawings/drawing7.xml" /><Relationship Id="rId5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sxbq@pge.com" TargetMode="External" /><Relationship Id="rId2" Type="http://schemas.openxmlformats.org/officeDocument/2006/relationships/hyperlink" Target="mailto:mkg3@pge.com" TargetMode="External" /><Relationship Id="rId3" Type="http://schemas.openxmlformats.org/officeDocument/2006/relationships/hyperlink" Target="mailto:staples@staples-ad.com" TargetMode="External" /><Relationship Id="rId4" Type="http://schemas.openxmlformats.org/officeDocument/2006/relationships/hyperlink" Target="mailto:alee@xenergy.com" TargetMode="External" /><Relationship Id="rId5" Type="http://schemas.openxmlformats.org/officeDocument/2006/relationships/hyperlink" Target="mailto:mrufo@xenergy.com" TargetMode="External" /><Relationship Id="rId6" Type="http://schemas.openxmlformats.org/officeDocument/2006/relationships/hyperlink" Target="mailto:mrufo@xenergy.com" TargetMode="External" /><Relationship Id="rId7" Type="http://schemas.openxmlformats.org/officeDocument/2006/relationships/hyperlink" Target="mailto:gxd7@pge.com" TargetMode="External" /><Relationship Id="rId8" Type="http://schemas.openxmlformats.org/officeDocument/2006/relationships/hyperlink" Target="mailto:ksh1@pge.com" TargetMode="External" /><Relationship Id="rId9" Type="http://schemas.openxmlformats.org/officeDocument/2006/relationships/hyperlink" Target="mailto:ksh1@pge.com" TargetMode="External" /><Relationship Id="rId10" Type="http://schemas.openxmlformats.org/officeDocument/2006/relationships/hyperlink" Target="mailto:mkg3@pge.com" TargetMode="External" /><Relationship Id="rId11" Type="http://schemas.openxmlformats.org/officeDocument/2006/relationships/hyperlink" Target="mailto:chappell@h-m-g.com" TargetMode="External" /><Relationship Id="rId12" Type="http://schemas.openxmlformats.org/officeDocument/2006/relationships/comments" Target="../comments4.xml" /><Relationship Id="rId13" Type="http://schemas.openxmlformats.org/officeDocument/2006/relationships/vmlDrawing" Target="../drawings/vmlDrawing2.vml" /><Relationship Id="rId14" Type="http://schemas.openxmlformats.org/officeDocument/2006/relationships/drawing" Target="../drawings/drawing1.xml" /><Relationship Id="rId1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Lee.Trotman@sce.com" TargetMode="External" /><Relationship Id="rId2" Type="http://schemas.openxmlformats.org/officeDocument/2006/relationships/hyperlink" Target="mailto:fran.curl@sce.com" TargetMode="External" /><Relationship Id="rId3" Type="http://schemas.openxmlformats.org/officeDocument/2006/relationships/hyperlink" Target="mailto:michelle.thomas@sce.com" TargetMode="External" /><Relationship Id="rId4" Type="http://schemas.openxmlformats.org/officeDocument/2006/relationships/hyperlink" Target="mailto:fran.curl@sce.com" TargetMode="External" /><Relationship Id="rId5" Type="http://schemas.openxmlformats.org/officeDocument/2006/relationships/hyperlink" Target="mailto:fran.curl@sce.com" TargetMode="External" /><Relationship Id="rId6" Type="http://schemas.openxmlformats.org/officeDocument/2006/relationships/hyperlink" Target="mailto:Cheryl.wynn@sce.com" TargetMode="External" /><Relationship Id="rId7" Type="http://schemas.openxmlformats.org/officeDocument/2006/relationships/hyperlink" Target="mailto:Cheryl.wynn@sce.com" TargetMode="External" /><Relationship Id="rId8" Type="http://schemas.openxmlformats.org/officeDocument/2006/relationships/hyperlink" Target="mailto:michelle.thomas@sce.com" TargetMode="External" /><Relationship Id="rId9" Type="http://schemas.openxmlformats.org/officeDocument/2006/relationships/hyperlink" Target="mailto:Cheryl.wynn@sce.com" TargetMode="External" /><Relationship Id="rId10" Type="http://schemas.openxmlformats.org/officeDocument/2006/relationships/hyperlink" Target="mailto:mrufo@xenergy.com" TargetMode="External" /><Relationship Id="rId11" Type="http://schemas.openxmlformats.org/officeDocument/2006/relationships/hyperlink" Target="mailto:Cheryl.wynn@sce.com" TargetMode="External" /><Relationship Id="rId12" Type="http://schemas.openxmlformats.org/officeDocument/2006/relationships/hyperlink" Target="mailto:Cheryl.wynn@sce.com" TargetMode="External" /><Relationship Id="rId13" Type="http://schemas.openxmlformats.org/officeDocument/2006/relationships/comments" Target="../comments5.xml" /><Relationship Id="rId14" Type="http://schemas.openxmlformats.org/officeDocument/2006/relationships/vmlDrawing" Target="../drawings/vmlDrawing3.vml" /><Relationship Id="rId15" Type="http://schemas.openxmlformats.org/officeDocument/2006/relationships/drawing" Target="../drawings/drawing2.xml" /><Relationship Id="rId16"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ldelaura@semprautilities.com" TargetMode="External" /><Relationship Id="rId2" Type="http://schemas.openxmlformats.org/officeDocument/2006/relationships/hyperlink" Target="mailto:fspasaro@semprautilities.com" TargetMode="External" /><Relationship Id="rId3" Type="http://schemas.openxmlformats.org/officeDocument/2006/relationships/hyperlink" Target="mailto:drebello@qcworld.com" TargetMode="External" /><Relationship Id="rId4" Type="http://schemas.openxmlformats.org/officeDocument/2006/relationships/hyperlink" Target="mailto:ldelaura@semprautilities.com" TargetMode="External" /><Relationship Id="rId5" Type="http://schemas.openxmlformats.org/officeDocument/2006/relationships/hyperlink" Target="mailto:fspasaro@semprautilities.com" TargetMode="External" /><Relationship Id="rId6" Type="http://schemas.openxmlformats.org/officeDocument/2006/relationships/hyperlink" Target="mailto:drebello@qcworld.com" TargetMode="External" /><Relationship Id="rId7" Type="http://schemas.openxmlformats.org/officeDocument/2006/relationships/hyperlink" Target="mailto:Talereza@adm-energy.com" TargetMode="External" /><Relationship Id="rId8" Type="http://schemas.openxmlformats.org/officeDocument/2006/relationships/hyperlink" Target="mailto:ldelaura@semprautilities.com" TargetMode="External" /><Relationship Id="rId9" Type="http://schemas.openxmlformats.org/officeDocument/2006/relationships/hyperlink" Target="mailto:fspasaro@semprautilities.com" TargetMode="External" /><Relationship Id="rId10" Type="http://schemas.openxmlformats.org/officeDocument/2006/relationships/hyperlink" Target="mailto:drebello@qcworld.com" TargetMode="External" /><Relationship Id="rId11" Type="http://schemas.openxmlformats.org/officeDocument/2006/relationships/hyperlink" Target="mailto:lvillarreal@semprautilities.com" TargetMode="External" /><Relationship Id="rId12" Type="http://schemas.openxmlformats.org/officeDocument/2006/relationships/hyperlink" Target="mailto:fspasaro@semprautilities.com" TargetMode="External" /><Relationship Id="rId13" Type="http://schemas.openxmlformats.org/officeDocument/2006/relationships/hyperlink" Target="mailto:craigtyler@attbi.com" TargetMode="External" /><Relationship Id="rId14" Type="http://schemas.openxmlformats.org/officeDocument/2006/relationships/hyperlink" Target="mailto:fspasaro@semprautilities.com" TargetMode="External" /><Relationship Id="rId15" Type="http://schemas.openxmlformats.org/officeDocument/2006/relationships/hyperlink" Target="mailto:fspasaro@semprautilities.com" TargetMode="External" /><Relationship Id="rId16" Type="http://schemas.openxmlformats.org/officeDocument/2006/relationships/hyperlink" Target="mailto:cruiz@semprautilities.com" TargetMode="External" /><Relationship Id="rId17" Type="http://schemas.openxmlformats.org/officeDocument/2006/relationships/hyperlink" Target="mailto:ttang@semprautilities.com" TargetMode="External" /><Relationship Id="rId18" Type="http://schemas.openxmlformats.org/officeDocument/2006/relationships/hyperlink" Target="mailto:fspasaro@semprautilities.com" TargetMode="External" /><Relationship Id="rId19" Type="http://schemas.openxmlformats.org/officeDocument/2006/relationships/hyperlink" Target="mailto:drebello@qcworld.com" TargetMode="External" /><Relationship Id="rId20" Type="http://schemas.openxmlformats.org/officeDocument/2006/relationships/hyperlink" Target="mailto:Talereza@adm-energy.com" TargetMode="External" /><Relationship Id="rId21" Type="http://schemas.openxmlformats.org/officeDocument/2006/relationships/hyperlink" Target="mailto:msutter@alamedanet.net" TargetMode="External" /><Relationship Id="rId22" Type="http://schemas.openxmlformats.org/officeDocument/2006/relationships/comments" Target="../comments7.xml" /><Relationship Id="rId23" Type="http://schemas.openxmlformats.org/officeDocument/2006/relationships/vmlDrawing" Target="../drawings/vmlDrawing5.vml" /><Relationship Id="rId24" Type="http://schemas.openxmlformats.org/officeDocument/2006/relationships/drawing" Target="../drawings/drawing4.xml" /><Relationship Id="rId2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mkg3@pge.com" TargetMode="External" /><Relationship Id="rId2" Type="http://schemas.openxmlformats.org/officeDocument/2006/relationships/hyperlink" Target="mailto:dohrmann@adm-energy.com" TargetMode="External" /><Relationship Id="rId3" Type="http://schemas.openxmlformats.org/officeDocument/2006/relationships/hyperlink" Target="mailto:Lee.Trotman@sce.com" TargetMode="External" /><Relationship Id="rId4" Type="http://schemas.openxmlformats.org/officeDocument/2006/relationships/hyperlink" Target="mailto:fran.curl@sce.com" TargetMode="External" /><Relationship Id="rId5" Type="http://schemas.openxmlformats.org/officeDocument/2006/relationships/hyperlink" Target="mailto:steve.culbertson@sce.com" TargetMode="External" /><Relationship Id="rId6" Type="http://schemas.openxmlformats.org/officeDocument/2006/relationships/hyperlink" Target="mailto:mkg3@pge.com" TargetMode="External" /><Relationship Id="rId7" Type="http://schemas.openxmlformats.org/officeDocument/2006/relationships/hyperlink" Target="mailto:michelle.thomas@sce.com" TargetMode="External" /><Relationship Id="rId8" Type="http://schemas.openxmlformats.org/officeDocument/2006/relationships/comments" Target="../comments8.xml" /><Relationship Id="rId9" Type="http://schemas.openxmlformats.org/officeDocument/2006/relationships/vmlDrawing" Target="../drawings/vmlDrawing6.vml" /><Relationship Id="rId10"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mailto:schaudhr@energy.state.ca.us" TargetMode="External" /><Relationship Id="rId2" Type="http://schemas.openxmlformats.org/officeDocument/2006/relationships/comments" Target="../comments9.xml" /><Relationship Id="rId3" Type="http://schemas.openxmlformats.org/officeDocument/2006/relationships/vmlDrawing" Target="../drawings/vmlDrawing7.vml" /><Relationship Id="rId4" Type="http://schemas.openxmlformats.org/officeDocument/2006/relationships/drawing" Target="../drawings/drawing5.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24"/>
  <sheetViews>
    <sheetView zoomScale="75" zoomScaleNormal="75" workbookViewId="0" topLeftCell="A1">
      <selection activeCell="B31" sqref="B31"/>
    </sheetView>
  </sheetViews>
  <sheetFormatPr defaultColWidth="9.140625" defaultRowHeight="12.75"/>
  <cols>
    <col min="1" max="1" width="13.00390625" style="77" customWidth="1"/>
    <col min="2" max="2" width="27.57421875" style="0" customWidth="1"/>
  </cols>
  <sheetData>
    <row r="2" spans="1:2" ht="25.5">
      <c r="A2" s="78" t="s">
        <v>1128</v>
      </c>
      <c r="B2" s="79" t="s">
        <v>1129</v>
      </c>
    </row>
    <row r="3" spans="1:2" ht="12.75">
      <c r="A3" s="77">
        <v>1</v>
      </c>
      <c r="B3" t="s">
        <v>1130</v>
      </c>
    </row>
    <row r="4" spans="1:2" ht="12.75">
      <c r="A4" s="77">
        <f>A3+1</f>
        <v>2</v>
      </c>
      <c r="B4" t="s">
        <v>595</v>
      </c>
    </row>
    <row r="5" spans="1:2" ht="12.75">
      <c r="A5" s="77">
        <f aca="true" t="shared" si="0" ref="A5:A14">A4+1</f>
        <v>3</v>
      </c>
      <c r="B5" t="s">
        <v>323</v>
      </c>
    </row>
    <row r="6" spans="1:2" ht="12.75">
      <c r="A6" s="77">
        <f t="shared" si="0"/>
        <v>4</v>
      </c>
      <c r="B6" t="s">
        <v>823</v>
      </c>
    </row>
    <row r="7" spans="1:2" ht="12.75">
      <c r="A7" s="77">
        <f t="shared" si="0"/>
        <v>5</v>
      </c>
      <c r="B7" t="s">
        <v>1174</v>
      </c>
    </row>
    <row r="8" spans="1:2" ht="12.75">
      <c r="A8" s="77">
        <f t="shared" si="0"/>
        <v>6</v>
      </c>
      <c r="B8" t="s">
        <v>294</v>
      </c>
    </row>
    <row r="9" spans="1:2" ht="12.75">
      <c r="A9" s="77">
        <f t="shared" si="0"/>
        <v>7</v>
      </c>
      <c r="B9" t="s">
        <v>749</v>
      </c>
    </row>
    <row r="10" spans="1:2" ht="12.75">
      <c r="A10" s="77">
        <f t="shared" si="0"/>
        <v>8</v>
      </c>
      <c r="B10" t="s">
        <v>20</v>
      </c>
    </row>
    <row r="11" spans="1:2" ht="12.75">
      <c r="A11" s="77">
        <f t="shared" si="0"/>
        <v>9</v>
      </c>
      <c r="B11" t="s">
        <v>182</v>
      </c>
    </row>
    <row r="12" spans="1:2" ht="12.75">
      <c r="A12" s="77">
        <f t="shared" si="0"/>
        <v>10</v>
      </c>
      <c r="B12" t="s">
        <v>596</v>
      </c>
    </row>
    <row r="13" spans="1:2" ht="12.75">
      <c r="A13" s="77">
        <f t="shared" si="0"/>
        <v>11</v>
      </c>
      <c r="B13" t="s">
        <v>359</v>
      </c>
    </row>
    <row r="14" spans="1:2" ht="12.75">
      <c r="A14" s="77">
        <f t="shared" si="0"/>
        <v>12</v>
      </c>
      <c r="B14" t="s">
        <v>360</v>
      </c>
    </row>
    <row r="15" spans="1:2" ht="12.75">
      <c r="A15" s="77">
        <v>13</v>
      </c>
      <c r="B15" t="s">
        <v>1192</v>
      </c>
    </row>
    <row r="16" spans="1:2" ht="12.75">
      <c r="A16" s="77">
        <v>14</v>
      </c>
      <c r="B16" t="s">
        <v>480</v>
      </c>
    </row>
    <row r="17" spans="1:2" ht="12.75">
      <c r="A17" s="77">
        <v>15</v>
      </c>
      <c r="B17" t="s">
        <v>613</v>
      </c>
    </row>
    <row r="18" spans="1:2" ht="12.75">
      <c r="A18" s="77">
        <v>16</v>
      </c>
      <c r="B18" t="s">
        <v>1139</v>
      </c>
    </row>
    <row r="19" spans="1:2" ht="12.75">
      <c r="A19" s="77">
        <v>17</v>
      </c>
      <c r="B19" t="s">
        <v>1140</v>
      </c>
    </row>
    <row r="20" spans="1:2" ht="12.75">
      <c r="A20" s="77">
        <v>18</v>
      </c>
      <c r="B20" t="s">
        <v>1141</v>
      </c>
    </row>
    <row r="21" spans="1:2" ht="12.75">
      <c r="A21" s="77">
        <v>19</v>
      </c>
      <c r="B21" t="s">
        <v>1248</v>
      </c>
    </row>
    <row r="22" spans="1:2" ht="12.75">
      <c r="A22" s="77">
        <v>20</v>
      </c>
      <c r="B22" t="s">
        <v>1152</v>
      </c>
    </row>
    <row r="23" spans="1:2" ht="12.75">
      <c r="A23" s="77">
        <v>21</v>
      </c>
      <c r="B23" t="s">
        <v>600</v>
      </c>
    </row>
    <row r="24" spans="1:2" ht="12.75">
      <c r="A24" s="77">
        <v>22</v>
      </c>
      <c r="B24" t="s">
        <v>1329</v>
      </c>
    </row>
  </sheetData>
  <sheetProtection password="DE47" sheet="1" objects="1" scenarios="1"/>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4">
    <pageSetUpPr fitToPage="1"/>
  </sheetPr>
  <dimension ref="A1:AS17"/>
  <sheetViews>
    <sheetView showGridLines="0" zoomScale="75" zoomScaleNormal="75" zoomScaleSheetLayoutView="100" workbookViewId="0" topLeftCell="A1">
      <pane xSplit="4" ySplit="5" topLeftCell="AG6" activePane="bottomRight" state="frozen"/>
      <selection pane="topLeft" activeCell="D35" sqref="D35"/>
      <selection pane="topRight" activeCell="D35" sqref="D35"/>
      <selection pane="bottomLeft" activeCell="D35" sqref="D35"/>
      <selection pane="bottomRight" activeCell="AL6" sqref="AL6"/>
    </sheetView>
  </sheetViews>
  <sheetFormatPr defaultColWidth="9.140625" defaultRowHeight="12.75" outlineLevelCol="1"/>
  <cols>
    <col min="1" max="1" width="10.28125" style="31" customWidth="1"/>
    <col min="2" max="2" width="14.28125" style="31" customWidth="1"/>
    <col min="3" max="3" width="10.8515625" style="31" customWidth="1"/>
    <col min="4" max="4" width="31.57421875" style="31" customWidth="1"/>
    <col min="5" max="5" width="20.7109375" style="31" customWidth="1"/>
    <col min="6" max="9" width="3.7109375" style="31" customWidth="1"/>
    <col min="10" max="10" width="7.7109375" style="31" customWidth="1"/>
    <col min="11" max="11" width="10.28125" style="31" hidden="1" customWidth="1" outlineLevel="1"/>
    <col min="12" max="13" width="7.7109375" style="31" hidden="1" customWidth="1" outlineLevel="1"/>
    <col min="14" max="14" width="11.57421875" style="31" hidden="1" customWidth="1" outlineLevel="1"/>
    <col min="15" max="22" width="7.7109375" style="31" hidden="1" customWidth="1" outlineLevel="1"/>
    <col min="23" max="23" width="7.8515625" style="31" hidden="1" customWidth="1" outlineLevel="1"/>
    <col min="24" max="24" width="10.7109375" style="31" hidden="1" customWidth="1" outlineLevel="1"/>
    <col min="25" max="25" width="9.28125" style="31" hidden="1" customWidth="1" outlineLevel="1"/>
    <col min="26" max="26" width="8.00390625" style="31" hidden="1" customWidth="1" outlineLevel="1"/>
    <col min="27" max="27" width="7.57421875" style="31" hidden="1" customWidth="1" outlineLevel="1"/>
    <col min="28" max="28" width="7.28125" style="31" hidden="1" customWidth="1" outlineLevel="1"/>
    <col min="29" max="29" width="6.8515625" style="31" hidden="1" customWidth="1" outlineLevel="1"/>
    <col min="30" max="30" width="8.28125" style="31" customWidth="1" collapsed="1"/>
    <col min="31" max="31" width="8.421875" style="31" customWidth="1"/>
    <col min="32" max="33" width="8.00390625" style="31" customWidth="1"/>
    <col min="34" max="34" width="10.57421875" style="31" customWidth="1"/>
    <col min="35" max="35" width="10.28125" style="31" customWidth="1"/>
    <col min="36" max="36" width="8.57421875" style="31" customWidth="1"/>
    <col min="37" max="37" width="8.7109375" style="31" customWidth="1"/>
    <col min="38" max="38" width="9.140625" style="31" customWidth="1"/>
    <col min="39" max="39" width="9.7109375" style="31" customWidth="1"/>
    <col min="40" max="40" width="8.00390625" style="31" customWidth="1"/>
    <col min="41" max="41" width="9.140625" style="31" customWidth="1"/>
    <col min="42" max="42" width="10.57421875" style="31" customWidth="1"/>
    <col min="43" max="43" width="9.8515625" style="31" customWidth="1"/>
    <col min="44" max="44" width="10.28125" style="0" customWidth="1"/>
    <col min="45" max="45" width="29.421875" style="31" customWidth="1"/>
    <col min="46" max="16384" width="9.140625" style="31" customWidth="1"/>
  </cols>
  <sheetData>
    <row r="1" spans="2:31" ht="15.75">
      <c r="B1" s="80" t="s">
        <v>606</v>
      </c>
      <c r="AD1" s="81"/>
      <c r="AE1" s="81"/>
    </row>
    <row r="2" ht="16.5" thickBot="1">
      <c r="B2" s="80" t="s">
        <v>142</v>
      </c>
    </row>
    <row r="3" spans="6:29" ht="13.5" thickBot="1">
      <c r="F3" s="83"/>
      <c r="G3" s="83"/>
      <c r="H3" s="83"/>
      <c r="I3" s="83"/>
      <c r="J3" s="83"/>
      <c r="K3" s="84" t="s">
        <v>36</v>
      </c>
      <c r="L3" s="85"/>
      <c r="M3" s="85"/>
      <c r="N3" s="85"/>
      <c r="O3" s="85"/>
      <c r="P3" s="85"/>
      <c r="Q3" s="85"/>
      <c r="R3" s="85"/>
      <c r="S3" s="85"/>
      <c r="T3" s="85"/>
      <c r="U3" s="85"/>
      <c r="V3" s="85"/>
      <c r="W3" s="85"/>
      <c r="X3" s="85"/>
      <c r="Y3" s="86"/>
      <c r="Z3" s="87"/>
      <c r="AA3" s="88"/>
      <c r="AB3" s="88"/>
      <c r="AC3" s="89"/>
    </row>
    <row r="4" spans="6:45" ht="40.5" customHeight="1" thickBot="1">
      <c r="F4" s="61" t="s">
        <v>33</v>
      </c>
      <c r="G4" s="62"/>
      <c r="H4" s="62"/>
      <c r="I4" s="62"/>
      <c r="J4" s="63"/>
      <c r="K4" s="61" t="s">
        <v>679</v>
      </c>
      <c r="L4" s="85"/>
      <c r="M4" s="86"/>
      <c r="N4" s="90" t="s">
        <v>677</v>
      </c>
      <c r="O4" s="90"/>
      <c r="P4" s="91"/>
      <c r="Q4" s="90" t="s">
        <v>680</v>
      </c>
      <c r="R4" s="90"/>
      <c r="S4" s="91"/>
      <c r="T4" s="85" t="s">
        <v>675</v>
      </c>
      <c r="U4" s="85"/>
      <c r="V4" s="86"/>
      <c r="W4" s="85" t="s">
        <v>1197</v>
      </c>
      <c r="X4" s="86"/>
      <c r="Y4" s="92"/>
      <c r="Z4" s="93" t="s">
        <v>34</v>
      </c>
      <c r="AA4" s="94"/>
      <c r="AB4" s="94"/>
      <c r="AC4" s="95"/>
      <c r="AD4" s="36" t="s">
        <v>957</v>
      </c>
      <c r="AE4" s="36"/>
      <c r="AF4" s="36"/>
      <c r="AG4" s="36" t="s">
        <v>1284</v>
      </c>
      <c r="AH4" s="36"/>
      <c r="AI4" s="36"/>
      <c r="AJ4" s="35" t="s">
        <v>1081</v>
      </c>
      <c r="AK4" s="35"/>
      <c r="AL4" s="35"/>
      <c r="AM4" s="35" t="s">
        <v>346</v>
      </c>
      <c r="AN4" s="35"/>
      <c r="AO4" s="35"/>
      <c r="AP4" s="35" t="s">
        <v>662</v>
      </c>
      <c r="AQ4" s="35"/>
      <c r="AR4" s="35"/>
      <c r="AS4" s="657" t="s">
        <v>732</v>
      </c>
    </row>
    <row r="5" spans="2:45" ht="113.25" thickBot="1">
      <c r="B5" s="96" t="s">
        <v>835</v>
      </c>
      <c r="C5" s="96" t="s">
        <v>834</v>
      </c>
      <c r="D5" s="96" t="s">
        <v>836</v>
      </c>
      <c r="E5" s="96" t="s">
        <v>731</v>
      </c>
      <c r="F5" s="11" t="s">
        <v>28</v>
      </c>
      <c r="G5" s="12" t="s">
        <v>29</v>
      </c>
      <c r="H5" s="12" t="s">
        <v>30</v>
      </c>
      <c r="I5" s="12" t="s">
        <v>31</v>
      </c>
      <c r="J5" s="13" t="s">
        <v>668</v>
      </c>
      <c r="K5" s="97" t="s">
        <v>37</v>
      </c>
      <c r="L5" s="98" t="s">
        <v>38</v>
      </c>
      <c r="M5" s="99" t="s">
        <v>39</v>
      </c>
      <c r="N5" s="97" t="s">
        <v>678</v>
      </c>
      <c r="O5" s="98" t="s">
        <v>38</v>
      </c>
      <c r="P5" s="99" t="s">
        <v>39</v>
      </c>
      <c r="Q5" s="97" t="s">
        <v>37</v>
      </c>
      <c r="R5" s="98" t="s">
        <v>38</v>
      </c>
      <c r="S5" s="99" t="s">
        <v>39</v>
      </c>
      <c r="T5" s="97" t="s">
        <v>678</v>
      </c>
      <c r="U5" s="98" t="s">
        <v>38</v>
      </c>
      <c r="V5" s="99" t="s">
        <v>39</v>
      </c>
      <c r="W5" s="100" t="s">
        <v>40</v>
      </c>
      <c r="X5" s="99" t="s">
        <v>41</v>
      </c>
      <c r="Y5" s="101" t="s">
        <v>35</v>
      </c>
      <c r="Z5" s="97" t="s">
        <v>1306</v>
      </c>
      <c r="AA5" s="98" t="s">
        <v>681</v>
      </c>
      <c r="AB5" s="98" t="s">
        <v>32</v>
      </c>
      <c r="AC5" s="102" t="s">
        <v>682</v>
      </c>
      <c r="AD5" s="109" t="s">
        <v>733</v>
      </c>
      <c r="AE5" s="111" t="s">
        <v>734</v>
      </c>
      <c r="AF5" s="110" t="s">
        <v>735</v>
      </c>
      <c r="AG5" s="109" t="s">
        <v>733</v>
      </c>
      <c r="AH5" s="111" t="s">
        <v>734</v>
      </c>
      <c r="AI5" s="110" t="s">
        <v>735</v>
      </c>
      <c r="AJ5" s="109" t="s">
        <v>1266</v>
      </c>
      <c r="AK5" s="111" t="s">
        <v>1356</v>
      </c>
      <c r="AL5" s="139" t="s">
        <v>1357</v>
      </c>
      <c r="AM5" s="148" t="s">
        <v>1266</v>
      </c>
      <c r="AN5" s="135" t="s">
        <v>1356</v>
      </c>
      <c r="AO5" s="140" t="s">
        <v>1357</v>
      </c>
      <c r="AP5" s="109" t="s">
        <v>1358</v>
      </c>
      <c r="AQ5" s="444" t="s">
        <v>650</v>
      </c>
      <c r="AR5" s="139" t="s">
        <v>517</v>
      </c>
      <c r="AS5" s="658"/>
    </row>
    <row r="6" spans="1:45" ht="140.25">
      <c r="A6" s="147" t="s">
        <v>98</v>
      </c>
      <c r="B6" s="380" t="s">
        <v>729</v>
      </c>
      <c r="C6" s="32" t="s">
        <v>657</v>
      </c>
      <c r="D6" s="38" t="s">
        <v>730</v>
      </c>
      <c r="E6" s="41" t="s">
        <v>940</v>
      </c>
      <c r="F6" s="26"/>
      <c r="G6" s="25" t="s">
        <v>969</v>
      </c>
      <c r="H6" s="24"/>
      <c r="I6" s="25"/>
      <c r="J6" s="24"/>
      <c r="K6" s="4" t="s">
        <v>1336</v>
      </c>
      <c r="L6" s="4" t="s">
        <v>1339</v>
      </c>
      <c r="M6" s="4"/>
      <c r="N6" s="4"/>
      <c r="O6" s="4"/>
      <c r="P6" s="4"/>
      <c r="Q6" s="4"/>
      <c r="R6" s="4"/>
      <c r="S6" s="4"/>
      <c r="T6" s="4"/>
      <c r="U6" s="4"/>
      <c r="V6" s="4"/>
      <c r="W6" s="4"/>
      <c r="X6" s="4"/>
      <c r="Y6" s="4"/>
      <c r="Z6" s="4"/>
      <c r="AA6" s="4"/>
      <c r="AB6" s="4"/>
      <c r="AC6" s="18"/>
      <c r="AD6" s="310" t="s">
        <v>982</v>
      </c>
      <c r="AE6" s="310" t="s">
        <v>982</v>
      </c>
      <c r="AF6" s="310" t="s">
        <v>982</v>
      </c>
      <c r="AG6" s="311" t="s">
        <v>982</v>
      </c>
      <c r="AH6" s="310">
        <v>7017.181</v>
      </c>
      <c r="AI6" s="310">
        <f>SUM(AG6:AH6)</f>
        <v>7017.181</v>
      </c>
      <c r="AJ6" s="112" t="s">
        <v>982</v>
      </c>
      <c r="AK6" s="112" t="s">
        <v>982</v>
      </c>
      <c r="AL6" s="112" t="s">
        <v>982</v>
      </c>
      <c r="AM6" s="114">
        <v>6105.635</v>
      </c>
      <c r="AN6" s="112">
        <v>18.962</v>
      </c>
      <c r="AO6" s="112">
        <v>0</v>
      </c>
      <c r="AP6" s="315">
        <f>AI6/AM6</f>
        <v>1.149295855386049</v>
      </c>
      <c r="AQ6" s="319">
        <f aca="true" t="shared" si="0" ref="AQ6:AQ12">AI6/AN6</f>
        <v>370.06544668283937</v>
      </c>
      <c r="AR6" s="475" t="str">
        <f>IF(OR(AO6="NA",AO6=0),"NA",AI6/AO6)</f>
        <v>NA</v>
      </c>
      <c r="AS6" s="1"/>
    </row>
    <row r="7" spans="1:45" ht="76.5">
      <c r="A7" s="147" t="s">
        <v>99</v>
      </c>
      <c r="B7" s="380" t="s">
        <v>899</v>
      </c>
      <c r="C7" s="32" t="s">
        <v>653</v>
      </c>
      <c r="D7" s="38" t="s">
        <v>900</v>
      </c>
      <c r="E7" s="41" t="s">
        <v>901</v>
      </c>
      <c r="F7" s="26"/>
      <c r="G7" s="25"/>
      <c r="H7" s="24"/>
      <c r="I7" s="25"/>
      <c r="J7" s="24"/>
      <c r="K7" s="4" t="s">
        <v>1336</v>
      </c>
      <c r="L7" s="4" t="s">
        <v>1339</v>
      </c>
      <c r="M7" s="4"/>
      <c r="N7" s="4"/>
      <c r="O7" s="4"/>
      <c r="P7" s="4"/>
      <c r="Q7" s="4"/>
      <c r="R7" s="4"/>
      <c r="S7" s="4"/>
      <c r="T7" s="4"/>
      <c r="U7" s="4"/>
      <c r="V7" s="4"/>
      <c r="W7" s="4"/>
      <c r="X7" s="4"/>
      <c r="Y7" s="4"/>
      <c r="Z7" s="4"/>
      <c r="AA7" s="4"/>
      <c r="AB7" s="4"/>
      <c r="AC7" s="18"/>
      <c r="AD7" s="310" t="s">
        <v>982</v>
      </c>
      <c r="AE7" s="310" t="s">
        <v>982</v>
      </c>
      <c r="AF7" s="310" t="s">
        <v>982</v>
      </c>
      <c r="AG7" s="311" t="s">
        <v>982</v>
      </c>
      <c r="AH7" s="310">
        <v>47.04</v>
      </c>
      <c r="AI7" s="310">
        <f>SUM(AG7:AH7)</f>
        <v>47.04</v>
      </c>
      <c r="AJ7" s="112" t="s">
        <v>982</v>
      </c>
      <c r="AK7" s="112" t="s">
        <v>982</v>
      </c>
      <c r="AL7" s="112" t="s">
        <v>982</v>
      </c>
      <c r="AM7" s="114">
        <f>3625*AN7</f>
        <v>409.625</v>
      </c>
      <c r="AN7" s="112">
        <v>0.113</v>
      </c>
      <c r="AO7" s="112">
        <v>0</v>
      </c>
      <c r="AP7" s="315">
        <f aca="true" t="shared" si="1" ref="AP7:AP12">AI7/AM7</f>
        <v>0.11483674092157461</v>
      </c>
      <c r="AQ7" s="319">
        <f t="shared" si="0"/>
        <v>416.283185840708</v>
      </c>
      <c r="AR7" s="476" t="str">
        <f aca="true" t="shared" si="2" ref="AR7:AR17">IF(OR(AO7="NA",AO7=0),"NA",AI7/AO7)</f>
        <v>NA</v>
      </c>
      <c r="AS7" s="1"/>
    </row>
    <row r="8" spans="1:45" ht="331.5">
      <c r="A8" s="147" t="s">
        <v>100</v>
      </c>
      <c r="B8" s="380" t="s">
        <v>949</v>
      </c>
      <c r="C8" s="32" t="s">
        <v>816</v>
      </c>
      <c r="D8" s="40" t="s">
        <v>950</v>
      </c>
      <c r="E8" s="41" t="s">
        <v>1267</v>
      </c>
      <c r="F8" s="26"/>
      <c r="G8" s="25" t="s">
        <v>969</v>
      </c>
      <c r="H8" s="24"/>
      <c r="I8" s="25"/>
      <c r="J8" s="24"/>
      <c r="K8" s="4" t="s">
        <v>1336</v>
      </c>
      <c r="L8" s="4" t="s">
        <v>1339</v>
      </c>
      <c r="M8" s="4"/>
      <c r="N8" s="4"/>
      <c r="O8" s="4"/>
      <c r="P8" s="4"/>
      <c r="Q8" s="4"/>
      <c r="R8" s="4"/>
      <c r="S8" s="4"/>
      <c r="T8" s="4"/>
      <c r="U8" s="4"/>
      <c r="V8" s="4"/>
      <c r="W8" s="4"/>
      <c r="X8" s="4"/>
      <c r="Y8" s="4"/>
      <c r="Z8" s="4"/>
      <c r="AA8" s="4"/>
      <c r="AB8" s="4"/>
      <c r="AC8" s="18"/>
      <c r="AD8" s="310" t="s">
        <v>982</v>
      </c>
      <c r="AE8" s="310" t="s">
        <v>982</v>
      </c>
      <c r="AF8" s="310" t="s">
        <v>982</v>
      </c>
      <c r="AG8" s="311" t="s">
        <v>982</v>
      </c>
      <c r="AH8" s="310">
        <v>3711.691</v>
      </c>
      <c r="AI8" s="310">
        <f aca="true" t="shared" si="3" ref="AI8:AI14">SUM(AG8:AH8)</f>
        <v>3711.691</v>
      </c>
      <c r="AJ8" s="112" t="s">
        <v>982</v>
      </c>
      <c r="AK8" s="112" t="s">
        <v>982</v>
      </c>
      <c r="AL8" s="112" t="s">
        <v>982</v>
      </c>
      <c r="AM8" s="114">
        <v>2937.285</v>
      </c>
      <c r="AN8" s="112">
        <v>33.762</v>
      </c>
      <c r="AO8" s="112">
        <v>0</v>
      </c>
      <c r="AP8" s="315">
        <f t="shared" si="1"/>
        <v>1.263646871175252</v>
      </c>
      <c r="AQ8" s="319">
        <f t="shared" si="0"/>
        <v>109.9369409395178</v>
      </c>
      <c r="AR8" s="476" t="str">
        <f t="shared" si="2"/>
        <v>NA</v>
      </c>
      <c r="AS8" s="1" t="s">
        <v>1268</v>
      </c>
    </row>
    <row r="9" spans="1:45" ht="114.75">
      <c r="A9" s="147" t="s">
        <v>101</v>
      </c>
      <c r="B9" s="380" t="s">
        <v>1269</v>
      </c>
      <c r="C9" s="32" t="s">
        <v>657</v>
      </c>
      <c r="D9" s="38" t="s">
        <v>1271</v>
      </c>
      <c r="E9" s="41" t="s">
        <v>1270</v>
      </c>
      <c r="F9" s="26"/>
      <c r="G9" s="25" t="s">
        <v>969</v>
      </c>
      <c r="H9" s="24"/>
      <c r="I9" s="25"/>
      <c r="J9" s="24"/>
      <c r="K9" s="4" t="s">
        <v>1336</v>
      </c>
      <c r="L9" s="4" t="s">
        <v>1339</v>
      </c>
      <c r="M9" s="4"/>
      <c r="N9" s="4"/>
      <c r="O9" s="4"/>
      <c r="P9" s="4"/>
      <c r="Q9" s="4"/>
      <c r="R9" s="4"/>
      <c r="S9" s="4"/>
      <c r="T9" s="4"/>
      <c r="U9" s="4"/>
      <c r="V9" s="4"/>
      <c r="W9" s="4"/>
      <c r="X9" s="4"/>
      <c r="Y9" s="4"/>
      <c r="Z9" s="4"/>
      <c r="AA9" s="4"/>
      <c r="AB9" s="4"/>
      <c r="AC9" s="18"/>
      <c r="AD9" s="310" t="s">
        <v>982</v>
      </c>
      <c r="AE9" s="310" t="s">
        <v>982</v>
      </c>
      <c r="AF9" s="310" t="s">
        <v>982</v>
      </c>
      <c r="AG9" s="311" t="s">
        <v>982</v>
      </c>
      <c r="AH9" s="310">
        <v>8160.349</v>
      </c>
      <c r="AI9" s="310">
        <f t="shared" si="3"/>
        <v>8160.349</v>
      </c>
      <c r="AJ9" s="112" t="s">
        <v>982</v>
      </c>
      <c r="AK9" s="112" t="s">
        <v>982</v>
      </c>
      <c r="AL9" s="112" t="s">
        <v>982</v>
      </c>
      <c r="AM9" s="114">
        <v>3714.314</v>
      </c>
      <c r="AN9" s="112">
        <v>35.041</v>
      </c>
      <c r="AO9" s="112">
        <v>0</v>
      </c>
      <c r="AP9" s="315">
        <f t="shared" si="1"/>
        <v>2.1970003074591973</v>
      </c>
      <c r="AQ9" s="319">
        <f t="shared" si="0"/>
        <v>232.8800262549585</v>
      </c>
      <c r="AR9" s="476" t="str">
        <f t="shared" si="2"/>
        <v>NA</v>
      </c>
      <c r="AS9" s="1"/>
    </row>
    <row r="10" spans="1:45" ht="153">
      <c r="A10" s="147" t="s">
        <v>102</v>
      </c>
      <c r="B10" s="380" t="s">
        <v>1272</v>
      </c>
      <c r="C10" s="32" t="s">
        <v>663</v>
      </c>
      <c r="D10" s="38" t="s">
        <v>1331</v>
      </c>
      <c r="E10" s="41" t="s">
        <v>1332</v>
      </c>
      <c r="F10" s="26"/>
      <c r="G10" s="25" t="s">
        <v>969</v>
      </c>
      <c r="H10" s="24"/>
      <c r="I10" s="25" t="s">
        <v>969</v>
      </c>
      <c r="J10" s="24"/>
      <c r="K10" s="4" t="s">
        <v>1336</v>
      </c>
      <c r="L10" s="4" t="s">
        <v>1339</v>
      </c>
      <c r="M10" s="4"/>
      <c r="N10" s="4"/>
      <c r="O10" s="4"/>
      <c r="P10" s="4"/>
      <c r="Q10" s="4"/>
      <c r="R10" s="4"/>
      <c r="S10" s="4"/>
      <c r="T10" s="4"/>
      <c r="U10" s="4"/>
      <c r="V10" s="4"/>
      <c r="W10" s="4"/>
      <c r="X10" s="4"/>
      <c r="Y10" s="4"/>
      <c r="Z10" s="4"/>
      <c r="AA10" s="4"/>
      <c r="AB10" s="4"/>
      <c r="AC10" s="18"/>
      <c r="AD10" s="310" t="s">
        <v>982</v>
      </c>
      <c r="AE10" s="310" t="s">
        <v>982</v>
      </c>
      <c r="AF10" s="310" t="s">
        <v>982</v>
      </c>
      <c r="AG10" s="311" t="s">
        <v>982</v>
      </c>
      <c r="AH10" s="310">
        <v>237.55</v>
      </c>
      <c r="AI10" s="310">
        <f t="shared" si="3"/>
        <v>237.55</v>
      </c>
      <c r="AJ10" s="112" t="s">
        <v>982</v>
      </c>
      <c r="AK10" s="112" t="s">
        <v>982</v>
      </c>
      <c r="AL10" s="112" t="s">
        <v>982</v>
      </c>
      <c r="AM10" s="114">
        <v>35.777</v>
      </c>
      <c r="AN10" s="112">
        <v>0.421</v>
      </c>
      <c r="AO10" s="112">
        <v>0</v>
      </c>
      <c r="AP10" s="315">
        <f t="shared" si="1"/>
        <v>6.6397406154792185</v>
      </c>
      <c r="AQ10" s="319">
        <f t="shared" si="0"/>
        <v>564.2517814726841</v>
      </c>
      <c r="AR10" s="476" t="str">
        <f t="shared" si="2"/>
        <v>NA</v>
      </c>
      <c r="AS10" s="1"/>
    </row>
    <row r="11" spans="1:45" ht="102">
      <c r="A11" s="147" t="s">
        <v>103</v>
      </c>
      <c r="B11" s="380" t="s">
        <v>1333</v>
      </c>
      <c r="C11" s="32" t="s">
        <v>664</v>
      </c>
      <c r="D11" s="38" t="s">
        <v>1335</v>
      </c>
      <c r="E11" s="41" t="s">
        <v>1334</v>
      </c>
      <c r="F11" s="26"/>
      <c r="G11" s="25" t="s">
        <v>969</v>
      </c>
      <c r="H11" s="24"/>
      <c r="I11" s="25"/>
      <c r="J11" s="24"/>
      <c r="K11" s="4" t="s">
        <v>1336</v>
      </c>
      <c r="L11" s="4" t="s">
        <v>1339</v>
      </c>
      <c r="M11" s="4"/>
      <c r="N11" s="4"/>
      <c r="O11" s="4"/>
      <c r="P11" s="4"/>
      <c r="Q11" s="4"/>
      <c r="R11" s="4"/>
      <c r="S11" s="4"/>
      <c r="T11" s="4"/>
      <c r="U11" s="4"/>
      <c r="V11" s="4"/>
      <c r="W11" s="4"/>
      <c r="X11" s="4"/>
      <c r="Y11" s="4"/>
      <c r="Z11" s="4"/>
      <c r="AA11" s="4"/>
      <c r="AB11" s="4"/>
      <c r="AC11" s="18"/>
      <c r="AD11" s="310" t="s">
        <v>982</v>
      </c>
      <c r="AE11" s="310" t="s">
        <v>982</v>
      </c>
      <c r="AF11" s="310" t="s">
        <v>982</v>
      </c>
      <c r="AG11" s="311" t="s">
        <v>982</v>
      </c>
      <c r="AH11" s="310">
        <v>93.175</v>
      </c>
      <c r="AI11" s="310">
        <f t="shared" si="3"/>
        <v>93.175</v>
      </c>
      <c r="AJ11" s="112" t="s">
        <v>982</v>
      </c>
      <c r="AK11" s="112" t="s">
        <v>982</v>
      </c>
      <c r="AL11" s="112" t="s">
        <v>982</v>
      </c>
      <c r="AM11" s="114">
        <v>13.027</v>
      </c>
      <c r="AN11" s="112">
        <v>0.123</v>
      </c>
      <c r="AO11" s="112">
        <v>0</v>
      </c>
      <c r="AP11" s="315">
        <f t="shared" si="1"/>
        <v>7.152452598449375</v>
      </c>
      <c r="AQ11" s="319">
        <f t="shared" si="0"/>
        <v>757.520325203252</v>
      </c>
      <c r="AR11" s="476" t="str">
        <f t="shared" si="2"/>
        <v>NA</v>
      </c>
      <c r="AS11" s="1"/>
    </row>
    <row r="12" spans="2:45" ht="12.75">
      <c r="B12" s="301" t="s">
        <v>666</v>
      </c>
      <c r="C12" s="301" t="s">
        <v>816</v>
      </c>
      <c r="D12" s="302"/>
      <c r="E12" s="257"/>
      <c r="F12" s="303"/>
      <c r="G12" s="304"/>
      <c r="H12" s="304"/>
      <c r="I12" s="304"/>
      <c r="J12" s="304"/>
      <c r="K12" s="259"/>
      <c r="L12" s="259"/>
      <c r="M12" s="259"/>
      <c r="N12" s="259"/>
      <c r="O12" s="259"/>
      <c r="P12" s="259"/>
      <c r="Q12" s="259"/>
      <c r="R12" s="259"/>
      <c r="S12" s="259"/>
      <c r="T12" s="259"/>
      <c r="U12" s="259"/>
      <c r="V12" s="259"/>
      <c r="W12" s="259"/>
      <c r="X12" s="259"/>
      <c r="Y12" s="259"/>
      <c r="Z12" s="259"/>
      <c r="AA12" s="259"/>
      <c r="AB12" s="259"/>
      <c r="AC12" s="305"/>
      <c r="AD12" s="312">
        <f>SUM(AD6:AD11)</f>
        <v>0</v>
      </c>
      <c r="AE12" s="312">
        <f aca="true" t="shared" si="4" ref="AE12:AO12">SUM(AE6:AE11)</f>
        <v>0</v>
      </c>
      <c r="AF12" s="312">
        <f t="shared" si="4"/>
        <v>0</v>
      </c>
      <c r="AG12" s="312">
        <f t="shared" si="4"/>
        <v>0</v>
      </c>
      <c r="AH12" s="312">
        <f t="shared" si="4"/>
        <v>19266.985999999997</v>
      </c>
      <c r="AI12" s="312">
        <f t="shared" si="4"/>
        <v>19266.985999999997</v>
      </c>
      <c r="AJ12" s="306">
        <f t="shared" si="4"/>
        <v>0</v>
      </c>
      <c r="AK12" s="306">
        <f t="shared" si="4"/>
        <v>0</v>
      </c>
      <c r="AL12" s="306">
        <f t="shared" si="4"/>
        <v>0</v>
      </c>
      <c r="AM12" s="261">
        <f t="shared" si="4"/>
        <v>13215.663</v>
      </c>
      <c r="AN12" s="306">
        <f t="shared" si="4"/>
        <v>88.42200000000001</v>
      </c>
      <c r="AO12" s="306">
        <f t="shared" si="4"/>
        <v>0</v>
      </c>
      <c r="AP12" s="316">
        <f t="shared" si="1"/>
        <v>1.4578902322191476</v>
      </c>
      <c r="AQ12" s="320">
        <f t="shared" si="0"/>
        <v>217.8981022822374</v>
      </c>
      <c r="AR12" s="271" t="str">
        <f t="shared" si="2"/>
        <v>NA</v>
      </c>
      <c r="AS12" s="267"/>
    </row>
    <row r="13" spans="1:45" ht="51">
      <c r="A13" s="147" t="s">
        <v>104</v>
      </c>
      <c r="B13" s="380" t="s">
        <v>941</v>
      </c>
      <c r="C13" s="32" t="s">
        <v>1158</v>
      </c>
      <c r="D13" s="38" t="s">
        <v>944</v>
      </c>
      <c r="E13" s="41" t="s">
        <v>943</v>
      </c>
      <c r="F13" s="26"/>
      <c r="G13" s="25"/>
      <c r="H13" s="24"/>
      <c r="I13" s="25"/>
      <c r="J13" s="24" t="s">
        <v>946</v>
      </c>
      <c r="K13" s="4" t="s">
        <v>1337</v>
      </c>
      <c r="L13" s="4"/>
      <c r="M13" s="5" t="s">
        <v>1338</v>
      </c>
      <c r="N13" s="4"/>
      <c r="O13" s="4"/>
      <c r="P13" s="4"/>
      <c r="Q13" s="4"/>
      <c r="R13" s="4"/>
      <c r="S13" s="4"/>
      <c r="T13" s="4"/>
      <c r="U13" s="4"/>
      <c r="V13" s="4"/>
      <c r="W13" s="4"/>
      <c r="X13" s="4"/>
      <c r="Y13" s="4"/>
      <c r="Z13" s="4"/>
      <c r="AA13" s="4"/>
      <c r="AB13" s="4"/>
      <c r="AC13" s="18"/>
      <c r="AD13" s="310" t="s">
        <v>982</v>
      </c>
      <c r="AE13" s="310" t="s">
        <v>982</v>
      </c>
      <c r="AF13" s="310" t="s">
        <v>982</v>
      </c>
      <c r="AG13" s="311" t="s">
        <v>982</v>
      </c>
      <c r="AH13" s="311" t="s">
        <v>982</v>
      </c>
      <c r="AI13" s="310">
        <f t="shared" si="3"/>
        <v>0</v>
      </c>
      <c r="AJ13" s="112" t="s">
        <v>982</v>
      </c>
      <c r="AK13" s="112" t="s">
        <v>982</v>
      </c>
      <c r="AL13" s="112" t="s">
        <v>982</v>
      </c>
      <c r="AM13" s="256" t="s">
        <v>982</v>
      </c>
      <c r="AN13" s="113" t="s">
        <v>982</v>
      </c>
      <c r="AO13" s="112">
        <v>0</v>
      </c>
      <c r="AP13" s="315" t="s">
        <v>982</v>
      </c>
      <c r="AQ13" s="319" t="s">
        <v>982</v>
      </c>
      <c r="AR13" s="476" t="str">
        <f t="shared" si="2"/>
        <v>NA</v>
      </c>
      <c r="AS13" s="1" t="s">
        <v>947</v>
      </c>
    </row>
    <row r="14" spans="1:45" ht="51">
      <c r="A14" s="147" t="s">
        <v>105</v>
      </c>
      <c r="B14" s="387" t="s">
        <v>942</v>
      </c>
      <c r="C14" s="174" t="s">
        <v>665</v>
      </c>
      <c r="D14" s="175" t="s">
        <v>945</v>
      </c>
      <c r="E14" s="178" t="s">
        <v>943</v>
      </c>
      <c r="F14" s="75"/>
      <c r="G14" s="74"/>
      <c r="H14" s="73"/>
      <c r="I14" s="74"/>
      <c r="J14" s="73" t="s">
        <v>946</v>
      </c>
      <c r="K14" s="48" t="s">
        <v>1337</v>
      </c>
      <c r="L14" s="48"/>
      <c r="M14" s="182" t="s">
        <v>1338</v>
      </c>
      <c r="N14" s="48"/>
      <c r="O14" s="48"/>
      <c r="P14" s="48"/>
      <c r="Q14" s="48"/>
      <c r="R14" s="48"/>
      <c r="S14" s="48"/>
      <c r="T14" s="48"/>
      <c r="U14" s="48"/>
      <c r="V14" s="48"/>
      <c r="W14" s="48"/>
      <c r="X14" s="48"/>
      <c r="Y14" s="48"/>
      <c r="Z14" s="48"/>
      <c r="AA14" s="48"/>
      <c r="AB14" s="48"/>
      <c r="AC14" s="176"/>
      <c r="AD14" s="313" t="s">
        <v>982</v>
      </c>
      <c r="AE14" s="313" t="s">
        <v>982</v>
      </c>
      <c r="AF14" s="313" t="s">
        <v>982</v>
      </c>
      <c r="AG14" s="314" t="s">
        <v>982</v>
      </c>
      <c r="AH14" s="314" t="s">
        <v>982</v>
      </c>
      <c r="AI14" s="313">
        <f t="shared" si="3"/>
        <v>0</v>
      </c>
      <c r="AJ14" s="307" t="s">
        <v>982</v>
      </c>
      <c r="AK14" s="307" t="s">
        <v>982</v>
      </c>
      <c r="AL14" s="307" t="s">
        <v>982</v>
      </c>
      <c r="AM14" s="309" t="s">
        <v>982</v>
      </c>
      <c r="AN14" s="308" t="s">
        <v>982</v>
      </c>
      <c r="AO14" s="307">
        <v>0</v>
      </c>
      <c r="AP14" s="317" t="s">
        <v>982</v>
      </c>
      <c r="AQ14" s="321" t="s">
        <v>982</v>
      </c>
      <c r="AR14" s="476" t="str">
        <f t="shared" si="2"/>
        <v>NA</v>
      </c>
      <c r="AS14" s="20" t="s">
        <v>948</v>
      </c>
    </row>
    <row r="15" spans="2:45" ht="12.75">
      <c r="B15" s="271" t="s">
        <v>667</v>
      </c>
      <c r="C15" s="271" t="s">
        <v>668</v>
      </c>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300">
        <v>0</v>
      </c>
      <c r="AE15" s="300">
        <v>0</v>
      </c>
      <c r="AF15" s="300">
        <v>0</v>
      </c>
      <c r="AG15" s="300">
        <v>0</v>
      </c>
      <c r="AH15" s="300">
        <v>0</v>
      </c>
      <c r="AI15" s="300">
        <v>0</v>
      </c>
      <c r="AJ15" s="270">
        <v>0</v>
      </c>
      <c r="AK15" s="270">
        <v>0</v>
      </c>
      <c r="AL15" s="270">
        <v>0</v>
      </c>
      <c r="AM15" s="270">
        <v>0</v>
      </c>
      <c r="AN15" s="270">
        <v>0</v>
      </c>
      <c r="AO15" s="270">
        <v>0</v>
      </c>
      <c r="AP15" s="318" t="s">
        <v>982</v>
      </c>
      <c r="AQ15" s="322" t="s">
        <v>982</v>
      </c>
      <c r="AR15" s="271" t="str">
        <f t="shared" si="2"/>
        <v>NA</v>
      </c>
      <c r="AS15" s="271"/>
    </row>
    <row r="16" ht="12.75">
      <c r="AR16" s="83"/>
    </row>
    <row r="17" spans="2:45" ht="12.75">
      <c r="B17" s="271" t="s">
        <v>651</v>
      </c>
      <c r="C17" s="271" t="s">
        <v>669</v>
      </c>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300">
        <f>AD15+AD12</f>
        <v>0</v>
      </c>
      <c r="AE17" s="300">
        <f aca="true" t="shared" si="5" ref="AE17:AO17">AE15+AE12</f>
        <v>0</v>
      </c>
      <c r="AF17" s="300">
        <f t="shared" si="5"/>
        <v>0</v>
      </c>
      <c r="AG17" s="300">
        <f t="shared" si="5"/>
        <v>0</v>
      </c>
      <c r="AH17" s="300">
        <f t="shared" si="5"/>
        <v>19266.985999999997</v>
      </c>
      <c r="AI17" s="300">
        <f t="shared" si="5"/>
        <v>19266.985999999997</v>
      </c>
      <c r="AJ17" s="270">
        <f t="shared" si="5"/>
        <v>0</v>
      </c>
      <c r="AK17" s="270">
        <f t="shared" si="5"/>
        <v>0</v>
      </c>
      <c r="AL17" s="270">
        <f t="shared" si="5"/>
        <v>0</v>
      </c>
      <c r="AM17" s="270">
        <f t="shared" si="5"/>
        <v>13215.663</v>
      </c>
      <c r="AN17" s="272">
        <f t="shared" si="5"/>
        <v>88.42200000000001</v>
      </c>
      <c r="AO17" s="270">
        <f t="shared" si="5"/>
        <v>0</v>
      </c>
      <c r="AP17" s="316">
        <f>AI17/AM17</f>
        <v>1.4578902322191476</v>
      </c>
      <c r="AQ17" s="320">
        <f>AI17/AN17</f>
        <v>217.8981022822374</v>
      </c>
      <c r="AR17" s="271" t="str">
        <f t="shared" si="2"/>
        <v>NA</v>
      </c>
      <c r="AS17" s="271"/>
    </row>
  </sheetData>
  <sheetProtection password="DE47" sheet="1" objects="1" scenarios="1"/>
  <mergeCells count="1">
    <mergeCell ref="AS4:AS5"/>
  </mergeCells>
  <hyperlinks>
    <hyperlink ref="M14" r:id="rId1" display="ljohns@ladwp.com"/>
    <hyperlink ref="M13" r:id="rId2" display="ljohns@ladwp.com"/>
  </hyperlinks>
  <printOptions/>
  <pageMargins left="0.5" right="0.5" top="0.54" bottom="1" header="0.5" footer="0.5"/>
  <pageSetup fitToHeight="50" fitToWidth="2" horizontalDpi="300" verticalDpi="300" orientation="landscape" pageOrder="overThenDown" scale="66" r:id="rId6"/>
  <headerFooter alignWithMargins="0">
    <oddHeader>&amp;CCALMAC Summary Study</oddHeader>
    <oddFooter>&amp;LGlobal Energy Partners, LLC&amp;C&amp;D&amp;RPage &amp;P of &amp;N</oddFooter>
  </headerFooter>
  <colBreaks count="1" manualBreakCount="1">
    <brk id="38" min="5" max="16" man="1"/>
  </colBreaks>
  <drawing r:id="rId5"/>
  <legacyDrawing r:id="rId4"/>
</worksheet>
</file>

<file path=xl/worksheets/sheet11.xml><?xml version="1.0" encoding="utf-8"?>
<worksheet xmlns="http://schemas.openxmlformats.org/spreadsheetml/2006/main" xmlns:r="http://schemas.openxmlformats.org/officeDocument/2006/relationships">
  <sheetPr codeName="Sheet1">
    <pageSetUpPr fitToPage="1"/>
  </sheetPr>
  <dimension ref="A1:AS33"/>
  <sheetViews>
    <sheetView showGridLines="0" zoomScale="75" zoomScaleNormal="75" workbookViewId="0" topLeftCell="A1">
      <pane xSplit="4" ySplit="5" topLeftCell="AK27" activePane="bottomRight" state="frozen"/>
      <selection pane="topLeft" activeCell="D35" sqref="D35"/>
      <selection pane="topRight" activeCell="D35" sqref="D35"/>
      <selection pane="bottomLeft" activeCell="D35" sqref="D35"/>
      <selection pane="bottomRight" activeCell="AQ27" sqref="AQ27"/>
    </sheetView>
  </sheetViews>
  <sheetFormatPr defaultColWidth="9.140625" defaultRowHeight="12.75" outlineLevelCol="1"/>
  <cols>
    <col min="1" max="1" width="9.140625" style="31" customWidth="1"/>
    <col min="2" max="2" width="14.28125" style="31" customWidth="1"/>
    <col min="3" max="3" width="11.421875" style="31" customWidth="1"/>
    <col min="4" max="4" width="21.140625" style="31" customWidth="1"/>
    <col min="5" max="9" width="3.7109375" style="31" customWidth="1"/>
    <col min="10" max="21" width="0" style="31" hidden="1" customWidth="1" outlineLevel="1"/>
    <col min="22" max="23" width="9.7109375" style="31" hidden="1" customWidth="1" outlineLevel="1"/>
    <col min="24" max="24" width="0" style="31" hidden="1" customWidth="1" outlineLevel="1"/>
    <col min="25" max="25" width="8.00390625" style="31" hidden="1" customWidth="1" outlineLevel="1"/>
    <col min="26" max="27" width="7.57421875" style="31" hidden="1" customWidth="1" outlineLevel="1"/>
    <col min="28" max="28" width="5.8515625" style="31" hidden="1" customWidth="1" outlineLevel="1"/>
    <col min="29" max="29" width="10.7109375" style="137" customWidth="1" collapsed="1"/>
    <col min="30" max="33" width="10.7109375" style="137" customWidth="1"/>
    <col min="34" max="34" width="12.421875" style="137" customWidth="1"/>
    <col min="35" max="35" width="11.140625" style="183" customWidth="1"/>
    <col min="36" max="37" width="9.140625" style="31" customWidth="1"/>
    <col min="38" max="38" width="11.57421875" style="31" customWidth="1"/>
    <col min="39" max="39" width="9.28125" style="31" bestFit="1" customWidth="1"/>
    <col min="40" max="41" width="9.140625" style="31" customWidth="1"/>
    <col min="42" max="42" width="10.7109375" style="31" customWidth="1"/>
    <col min="43" max="43" width="11.00390625" style="31" customWidth="1"/>
    <col min="44" max="44" width="26.8515625" style="6" customWidth="1"/>
    <col min="45" max="16384" width="9.140625" style="31" customWidth="1"/>
  </cols>
  <sheetData>
    <row r="1" spans="2:31" ht="15.75">
      <c r="B1" s="80" t="s">
        <v>601</v>
      </c>
      <c r="C1" s="80"/>
      <c r="AC1" s="136"/>
      <c r="AD1" s="136"/>
      <c r="AE1" s="136"/>
    </row>
    <row r="2" ht="16.5" thickBot="1">
      <c r="B2" s="80" t="s">
        <v>142</v>
      </c>
    </row>
    <row r="3" spans="5:28" ht="13.5" thickBot="1">
      <c r="E3" s="83"/>
      <c r="F3" s="83"/>
      <c r="G3" s="83"/>
      <c r="H3" s="83"/>
      <c r="I3" s="83"/>
      <c r="J3" s="84" t="s">
        <v>36</v>
      </c>
      <c r="K3" s="85"/>
      <c r="L3" s="85"/>
      <c r="M3" s="85"/>
      <c r="N3" s="85"/>
      <c r="O3" s="85"/>
      <c r="P3" s="85"/>
      <c r="Q3" s="85"/>
      <c r="R3" s="85"/>
      <c r="S3" s="85"/>
      <c r="T3" s="85"/>
      <c r="U3" s="85"/>
      <c r="V3" s="85"/>
      <c r="W3" s="85"/>
      <c r="X3" s="86"/>
      <c r="Y3" s="87"/>
      <c r="Z3" s="88"/>
      <c r="AA3" s="88"/>
      <c r="AB3" s="89"/>
    </row>
    <row r="4" spans="5:43" ht="40.5" customHeight="1" thickBot="1">
      <c r="E4" s="61" t="s">
        <v>33</v>
      </c>
      <c r="F4" s="62"/>
      <c r="G4" s="62"/>
      <c r="H4" s="62"/>
      <c r="I4" s="63"/>
      <c r="J4" s="61" t="s">
        <v>679</v>
      </c>
      <c r="K4" s="85"/>
      <c r="L4" s="86"/>
      <c r="M4" s="85" t="s">
        <v>677</v>
      </c>
      <c r="N4" s="85"/>
      <c r="O4" s="86"/>
      <c r="P4" s="90" t="s">
        <v>680</v>
      </c>
      <c r="Q4" s="90"/>
      <c r="R4" s="91"/>
      <c r="S4" s="85" t="s">
        <v>675</v>
      </c>
      <c r="T4" s="85"/>
      <c r="U4" s="86"/>
      <c r="V4" s="85" t="s">
        <v>1197</v>
      </c>
      <c r="W4" s="86"/>
      <c r="X4" s="138"/>
      <c r="Y4" s="93" t="s">
        <v>34</v>
      </c>
      <c r="Z4" s="94"/>
      <c r="AA4" s="94"/>
      <c r="AB4" s="95"/>
      <c r="AC4" s="36" t="s">
        <v>956</v>
      </c>
      <c r="AD4" s="36"/>
      <c r="AE4" s="36"/>
      <c r="AF4" s="36" t="s">
        <v>1284</v>
      </c>
      <c r="AG4" s="36"/>
      <c r="AH4" s="36"/>
      <c r="AI4" s="441" t="s">
        <v>1081</v>
      </c>
      <c r="AJ4" s="35"/>
      <c r="AK4" s="35"/>
      <c r="AL4" s="35" t="s">
        <v>346</v>
      </c>
      <c r="AM4" s="35"/>
      <c r="AN4" s="35"/>
      <c r="AO4" s="35" t="s">
        <v>662</v>
      </c>
      <c r="AP4" s="35"/>
      <c r="AQ4" s="35"/>
    </row>
    <row r="5" spans="2:44" s="141" customFormat="1" ht="409.5" thickBot="1">
      <c r="B5" s="96" t="s">
        <v>835</v>
      </c>
      <c r="C5" s="96" t="s">
        <v>834</v>
      </c>
      <c r="D5" s="96" t="s">
        <v>836</v>
      </c>
      <c r="E5" s="11" t="s">
        <v>28</v>
      </c>
      <c r="F5" s="12" t="s">
        <v>29</v>
      </c>
      <c r="G5" s="12" t="s">
        <v>30</v>
      </c>
      <c r="H5" s="12" t="s">
        <v>31</v>
      </c>
      <c r="I5" s="13" t="s">
        <v>668</v>
      </c>
      <c r="J5" s="97" t="s">
        <v>37</v>
      </c>
      <c r="K5" s="98" t="s">
        <v>38</v>
      </c>
      <c r="L5" s="99" t="s">
        <v>39</v>
      </c>
      <c r="M5" s="97" t="s">
        <v>678</v>
      </c>
      <c r="N5" s="98" t="s">
        <v>38</v>
      </c>
      <c r="O5" s="99" t="s">
        <v>39</v>
      </c>
      <c r="P5" s="97" t="s">
        <v>37</v>
      </c>
      <c r="Q5" s="98" t="s">
        <v>38</v>
      </c>
      <c r="R5" s="99" t="s">
        <v>39</v>
      </c>
      <c r="S5" s="97" t="s">
        <v>678</v>
      </c>
      <c r="T5" s="98" t="s">
        <v>38</v>
      </c>
      <c r="U5" s="99" t="s">
        <v>39</v>
      </c>
      <c r="V5" s="100" t="s">
        <v>40</v>
      </c>
      <c r="W5" s="99" t="s">
        <v>41</v>
      </c>
      <c r="X5" s="102" t="s">
        <v>35</v>
      </c>
      <c r="Y5" s="97" t="s">
        <v>1306</v>
      </c>
      <c r="Z5" s="98" t="s">
        <v>681</v>
      </c>
      <c r="AA5" s="98" t="s">
        <v>32</v>
      </c>
      <c r="AB5" s="102" t="s">
        <v>682</v>
      </c>
      <c r="AC5" s="103" t="s">
        <v>777</v>
      </c>
      <c r="AD5" s="104" t="s">
        <v>778</v>
      </c>
      <c r="AE5" s="105" t="s">
        <v>779</v>
      </c>
      <c r="AF5" s="103" t="s">
        <v>777</v>
      </c>
      <c r="AG5" s="104" t="s">
        <v>778</v>
      </c>
      <c r="AH5" s="105" t="s">
        <v>779</v>
      </c>
      <c r="AI5" s="478" t="s">
        <v>1266</v>
      </c>
      <c r="AJ5" s="135" t="s">
        <v>1356</v>
      </c>
      <c r="AK5" s="139" t="s">
        <v>1357</v>
      </c>
      <c r="AL5" s="109" t="s">
        <v>1266</v>
      </c>
      <c r="AM5" s="111" t="s">
        <v>1356</v>
      </c>
      <c r="AN5" s="110" t="s">
        <v>1357</v>
      </c>
      <c r="AO5" s="109" t="s">
        <v>1358</v>
      </c>
      <c r="AP5" s="459" t="s">
        <v>650</v>
      </c>
      <c r="AQ5" s="483" t="s">
        <v>517</v>
      </c>
      <c r="AR5" s="10" t="s">
        <v>676</v>
      </c>
    </row>
    <row r="6" spans="1:44" ht="78.75" customHeight="1">
      <c r="A6" s="147" t="s">
        <v>106</v>
      </c>
      <c r="B6" s="381" t="s">
        <v>902</v>
      </c>
      <c r="C6" s="33" t="s">
        <v>652</v>
      </c>
      <c r="D6" s="40" t="s">
        <v>903</v>
      </c>
      <c r="E6" s="1" t="s">
        <v>969</v>
      </c>
      <c r="F6" s="1" t="s">
        <v>969</v>
      </c>
      <c r="G6" s="1"/>
      <c r="H6" s="1"/>
      <c r="I6" s="1"/>
      <c r="J6" s="41" t="s">
        <v>904</v>
      </c>
      <c r="K6" s="41" t="s">
        <v>905</v>
      </c>
      <c r="L6" s="142" t="s">
        <v>906</v>
      </c>
      <c r="M6" s="41" t="s">
        <v>907</v>
      </c>
      <c r="N6" s="41"/>
      <c r="O6" s="41"/>
      <c r="P6" s="41" t="s">
        <v>908</v>
      </c>
      <c r="Q6" s="41" t="s">
        <v>909</v>
      </c>
      <c r="R6" s="142" t="s">
        <v>910</v>
      </c>
      <c r="S6" s="41" t="s">
        <v>911</v>
      </c>
      <c r="T6" s="41" t="s">
        <v>912</v>
      </c>
      <c r="U6" s="142" t="s">
        <v>913</v>
      </c>
      <c r="V6" s="143" t="s">
        <v>1235</v>
      </c>
      <c r="W6" s="1"/>
      <c r="X6" s="1"/>
      <c r="Y6" s="144" t="s">
        <v>969</v>
      </c>
      <c r="Z6" s="41"/>
      <c r="AA6" s="1"/>
      <c r="AB6" s="145"/>
      <c r="AC6" s="282" t="s">
        <v>982</v>
      </c>
      <c r="AD6" s="282" t="s">
        <v>982</v>
      </c>
      <c r="AE6" s="283">
        <v>808.509</v>
      </c>
      <c r="AF6" s="283" t="s">
        <v>982</v>
      </c>
      <c r="AG6" s="283" t="s">
        <v>982</v>
      </c>
      <c r="AH6" s="284">
        <v>1064.571</v>
      </c>
      <c r="AI6" s="477">
        <v>12100</v>
      </c>
      <c r="AJ6" s="146">
        <v>3.4</v>
      </c>
      <c r="AK6" s="146" t="s">
        <v>982</v>
      </c>
      <c r="AL6" s="279">
        <v>19000.566</v>
      </c>
      <c r="AM6" s="224">
        <v>3.089</v>
      </c>
      <c r="AN6" s="224">
        <v>0</v>
      </c>
      <c r="AO6" s="294">
        <f>AH6/AL6</f>
        <v>0.056028383575520854</v>
      </c>
      <c r="AP6" s="298">
        <f>AH6/AM6</f>
        <v>344.6328909032049</v>
      </c>
      <c r="AQ6" s="480" t="str">
        <f>IF(OR(AN7="NA",AN7=0),"NA",$AH7/AN7)</f>
        <v>NA</v>
      </c>
      <c r="AR6" s="1" t="s">
        <v>343</v>
      </c>
    </row>
    <row r="7" spans="1:44" ht="76.5" customHeight="1">
      <c r="A7" s="147" t="s">
        <v>107</v>
      </c>
      <c r="B7" s="381" t="s">
        <v>0</v>
      </c>
      <c r="C7" s="33" t="s">
        <v>652</v>
      </c>
      <c r="D7" s="40" t="s">
        <v>1</v>
      </c>
      <c r="E7" s="1" t="s">
        <v>969</v>
      </c>
      <c r="F7" s="1" t="s">
        <v>969</v>
      </c>
      <c r="G7" s="1"/>
      <c r="H7" s="1"/>
      <c r="I7" s="1"/>
      <c r="J7" s="41" t="s">
        <v>904</v>
      </c>
      <c r="K7" s="41" t="s">
        <v>905</v>
      </c>
      <c r="L7" s="142" t="s">
        <v>906</v>
      </c>
      <c r="M7" s="41" t="s">
        <v>907</v>
      </c>
      <c r="N7" s="41"/>
      <c r="O7" s="41"/>
      <c r="P7" s="41" t="s">
        <v>908</v>
      </c>
      <c r="Q7" s="41" t="s">
        <v>909</v>
      </c>
      <c r="R7" s="142" t="s">
        <v>910</v>
      </c>
      <c r="S7" s="41" t="s">
        <v>911</v>
      </c>
      <c r="T7" s="41" t="s">
        <v>912</v>
      </c>
      <c r="U7" s="142" t="s">
        <v>913</v>
      </c>
      <c r="V7" s="143" t="s">
        <v>1235</v>
      </c>
      <c r="W7" s="1"/>
      <c r="X7" s="1"/>
      <c r="Y7" s="144" t="s">
        <v>969</v>
      </c>
      <c r="Z7" s="41"/>
      <c r="AA7" s="44"/>
      <c r="AB7" s="1"/>
      <c r="AC7" s="285" t="s">
        <v>982</v>
      </c>
      <c r="AD7" s="285" t="s">
        <v>982</v>
      </c>
      <c r="AE7" s="285"/>
      <c r="AF7" s="285" t="s">
        <v>982</v>
      </c>
      <c r="AG7" s="285" t="s">
        <v>982</v>
      </c>
      <c r="AH7" s="286">
        <v>116.475</v>
      </c>
      <c r="AI7" s="186">
        <v>400</v>
      </c>
      <c r="AJ7" s="147">
        <v>0.2</v>
      </c>
      <c r="AK7" s="147" t="s">
        <v>982</v>
      </c>
      <c r="AL7" s="280">
        <v>754.41</v>
      </c>
      <c r="AM7" s="193">
        <v>0.287</v>
      </c>
      <c r="AN7" s="193">
        <v>0</v>
      </c>
      <c r="AO7" s="295">
        <f aca="true" t="shared" si="0" ref="AO7:AO33">AH7/AL7</f>
        <v>0.15439217401678132</v>
      </c>
      <c r="AP7" s="299">
        <f aca="true" t="shared" si="1" ref="AP7:AP33">AH7/AM7</f>
        <v>405.8362369337979</v>
      </c>
      <c r="AQ7" s="481" t="str">
        <f aca="true" t="shared" si="2" ref="AQ7:AQ33">IF(OR(AN8="NA",AN8=0),"NA",$AH8/AN8)</f>
        <v>NA</v>
      </c>
      <c r="AR7" s="52" t="s">
        <v>343</v>
      </c>
    </row>
    <row r="8" spans="1:44" ht="76.5" customHeight="1">
      <c r="A8" s="147" t="s">
        <v>108</v>
      </c>
      <c r="B8" s="381" t="s">
        <v>2</v>
      </c>
      <c r="C8" s="33" t="s">
        <v>652</v>
      </c>
      <c r="D8" s="40" t="s">
        <v>3</v>
      </c>
      <c r="E8" s="1" t="s">
        <v>969</v>
      </c>
      <c r="F8" s="1"/>
      <c r="G8" s="1"/>
      <c r="H8" s="1"/>
      <c r="I8" s="1"/>
      <c r="J8" s="41" t="s">
        <v>904</v>
      </c>
      <c r="K8" s="41" t="s">
        <v>905</v>
      </c>
      <c r="L8" s="142" t="s">
        <v>906</v>
      </c>
      <c r="M8" s="41" t="s">
        <v>907</v>
      </c>
      <c r="N8" s="41"/>
      <c r="O8" s="41"/>
      <c r="P8" s="41" t="s">
        <v>908</v>
      </c>
      <c r="Q8" s="41" t="s">
        <v>909</v>
      </c>
      <c r="R8" s="142" t="s">
        <v>910</v>
      </c>
      <c r="S8" s="41"/>
      <c r="T8" s="41"/>
      <c r="U8" s="41"/>
      <c r="V8" s="142"/>
      <c r="W8" s="1"/>
      <c r="X8" s="1"/>
      <c r="Y8" s="144"/>
      <c r="Z8" s="41"/>
      <c r="AA8" s="44"/>
      <c r="AB8" s="1"/>
      <c r="AC8" s="285" t="s">
        <v>982</v>
      </c>
      <c r="AD8" s="285" t="s">
        <v>982</v>
      </c>
      <c r="AE8" s="285"/>
      <c r="AF8" s="285" t="s">
        <v>982</v>
      </c>
      <c r="AG8" s="285" t="s">
        <v>982</v>
      </c>
      <c r="AH8" s="286">
        <v>3.099</v>
      </c>
      <c r="AI8" s="186">
        <v>20</v>
      </c>
      <c r="AJ8" s="147">
        <v>0.01</v>
      </c>
      <c r="AK8" s="147" t="s">
        <v>982</v>
      </c>
      <c r="AL8" s="280">
        <v>36.571</v>
      </c>
      <c r="AM8" s="193">
        <v>0.008</v>
      </c>
      <c r="AN8" s="193">
        <v>0</v>
      </c>
      <c r="AO8" s="295">
        <f t="shared" si="0"/>
        <v>0.08473927428837058</v>
      </c>
      <c r="AP8" s="299">
        <f t="shared" si="1"/>
        <v>387.375</v>
      </c>
      <c r="AQ8" s="481" t="str">
        <f t="shared" si="2"/>
        <v>NA</v>
      </c>
      <c r="AR8" s="52" t="s">
        <v>344</v>
      </c>
    </row>
    <row r="9" spans="1:44" ht="78" customHeight="1">
      <c r="A9" s="147" t="s">
        <v>109</v>
      </c>
      <c r="B9" s="381" t="s">
        <v>4</v>
      </c>
      <c r="C9" s="33" t="s">
        <v>652</v>
      </c>
      <c r="D9" s="40" t="s">
        <v>5</v>
      </c>
      <c r="E9" s="1" t="s">
        <v>969</v>
      </c>
      <c r="F9" s="53" t="s">
        <v>969</v>
      </c>
      <c r="G9" s="1"/>
      <c r="H9" s="1"/>
      <c r="I9" s="1"/>
      <c r="J9" s="41" t="s">
        <v>904</v>
      </c>
      <c r="K9" s="41" t="s">
        <v>905</v>
      </c>
      <c r="L9" s="142" t="s">
        <v>906</v>
      </c>
      <c r="M9" s="41" t="s">
        <v>907</v>
      </c>
      <c r="N9" s="41"/>
      <c r="O9" s="41"/>
      <c r="P9" s="41" t="s">
        <v>908</v>
      </c>
      <c r="Q9" s="41" t="s">
        <v>909</v>
      </c>
      <c r="R9" s="142" t="s">
        <v>910</v>
      </c>
      <c r="S9" s="41"/>
      <c r="T9" s="41"/>
      <c r="U9" s="41"/>
      <c r="V9" s="142"/>
      <c r="W9" s="1"/>
      <c r="X9" s="1"/>
      <c r="Y9" s="144"/>
      <c r="Z9" s="41" t="s">
        <v>969</v>
      </c>
      <c r="AA9" s="44"/>
      <c r="AB9" s="1"/>
      <c r="AC9" s="285" t="s">
        <v>982</v>
      </c>
      <c r="AD9" s="285" t="s">
        <v>982</v>
      </c>
      <c r="AE9" s="285"/>
      <c r="AF9" s="285" t="s">
        <v>982</v>
      </c>
      <c r="AG9" s="285" t="s">
        <v>982</v>
      </c>
      <c r="AH9" s="286">
        <v>175.178</v>
      </c>
      <c r="AI9" s="186">
        <v>1300</v>
      </c>
      <c r="AJ9" s="147">
        <v>0.19</v>
      </c>
      <c r="AK9" s="147" t="s">
        <v>982</v>
      </c>
      <c r="AL9" s="280">
        <v>1420.126</v>
      </c>
      <c r="AM9" s="193">
        <v>0.207</v>
      </c>
      <c r="AN9" s="193">
        <v>0</v>
      </c>
      <c r="AO9" s="295">
        <f t="shared" si="0"/>
        <v>0.12335384325052848</v>
      </c>
      <c r="AP9" s="299">
        <f t="shared" si="1"/>
        <v>846.2705314009662</v>
      </c>
      <c r="AQ9" s="481" t="str">
        <f t="shared" si="2"/>
        <v>NA</v>
      </c>
      <c r="AR9" s="52" t="s">
        <v>345</v>
      </c>
    </row>
    <row r="10" spans="1:44" ht="216.75">
      <c r="A10" s="147" t="s">
        <v>110</v>
      </c>
      <c r="B10" s="381" t="s">
        <v>6</v>
      </c>
      <c r="C10" s="33" t="s">
        <v>652</v>
      </c>
      <c r="D10" s="40" t="s">
        <v>7</v>
      </c>
      <c r="E10" s="1" t="s">
        <v>969</v>
      </c>
      <c r="F10" s="1"/>
      <c r="G10" s="1"/>
      <c r="H10" s="1"/>
      <c r="I10" s="1"/>
      <c r="J10" s="41" t="s">
        <v>8</v>
      </c>
      <c r="K10" s="41" t="s">
        <v>9</v>
      </c>
      <c r="L10" s="142" t="s">
        <v>10</v>
      </c>
      <c r="M10" s="41" t="s">
        <v>907</v>
      </c>
      <c r="N10" s="41"/>
      <c r="O10" s="41"/>
      <c r="P10" s="41" t="s">
        <v>908</v>
      </c>
      <c r="Q10" s="41"/>
      <c r="R10" s="41"/>
      <c r="S10" s="41"/>
      <c r="T10" s="41"/>
      <c r="U10" s="41"/>
      <c r="V10" s="142"/>
      <c r="W10" s="1"/>
      <c r="X10" s="1"/>
      <c r="Y10" s="144"/>
      <c r="Z10" s="41" t="s">
        <v>969</v>
      </c>
      <c r="AA10" s="44"/>
      <c r="AB10" s="1"/>
      <c r="AC10" s="285" t="s">
        <v>982</v>
      </c>
      <c r="AD10" s="285" t="s">
        <v>982</v>
      </c>
      <c r="AE10" s="285"/>
      <c r="AF10" s="285" t="s">
        <v>982</v>
      </c>
      <c r="AG10" s="285" t="s">
        <v>982</v>
      </c>
      <c r="AH10" s="287">
        <v>136.652</v>
      </c>
      <c r="AI10" s="186" t="s">
        <v>982</v>
      </c>
      <c r="AJ10" s="147" t="s">
        <v>982</v>
      </c>
      <c r="AK10" s="147" t="s">
        <v>982</v>
      </c>
      <c r="AL10" s="292" t="s">
        <v>982</v>
      </c>
      <c r="AM10" s="293" t="s">
        <v>982</v>
      </c>
      <c r="AN10" s="193">
        <v>0</v>
      </c>
      <c r="AO10" s="296" t="s">
        <v>982</v>
      </c>
      <c r="AP10" s="299" t="s">
        <v>982</v>
      </c>
      <c r="AQ10" s="481" t="str">
        <f t="shared" si="2"/>
        <v>NA</v>
      </c>
      <c r="AR10" s="52" t="s">
        <v>417</v>
      </c>
    </row>
    <row r="11" spans="1:44" ht="331.5">
      <c r="A11" s="147" t="s">
        <v>111</v>
      </c>
      <c r="B11" s="381" t="s">
        <v>11</v>
      </c>
      <c r="C11" s="33" t="s">
        <v>654</v>
      </c>
      <c r="D11" s="40" t="s">
        <v>12</v>
      </c>
      <c r="E11" s="1"/>
      <c r="F11" s="1" t="s">
        <v>969</v>
      </c>
      <c r="G11" s="1"/>
      <c r="H11" s="1"/>
      <c r="I11" s="1"/>
      <c r="J11" s="41" t="s">
        <v>13</v>
      </c>
      <c r="K11" s="41" t="s">
        <v>14</v>
      </c>
      <c r="L11" s="142" t="s">
        <v>15</v>
      </c>
      <c r="M11" s="41" t="s">
        <v>907</v>
      </c>
      <c r="N11" s="41"/>
      <c r="O11" s="41"/>
      <c r="P11" s="41" t="s">
        <v>16</v>
      </c>
      <c r="Q11" s="41" t="s">
        <v>17</v>
      </c>
      <c r="R11" s="142" t="s">
        <v>18</v>
      </c>
      <c r="S11" s="41" t="s">
        <v>911</v>
      </c>
      <c r="T11" s="41" t="s">
        <v>912</v>
      </c>
      <c r="U11" s="142" t="s">
        <v>913</v>
      </c>
      <c r="V11" s="143" t="s">
        <v>1235</v>
      </c>
      <c r="W11" s="1"/>
      <c r="X11" s="1"/>
      <c r="Y11" s="144"/>
      <c r="Z11" s="41" t="s">
        <v>969</v>
      </c>
      <c r="AA11" s="44"/>
      <c r="AB11" s="1"/>
      <c r="AC11" s="285" t="s">
        <v>982</v>
      </c>
      <c r="AD11" s="285" t="s">
        <v>982</v>
      </c>
      <c r="AE11" s="285"/>
      <c r="AF11" s="285" t="s">
        <v>982</v>
      </c>
      <c r="AG11" s="285" t="s">
        <v>982</v>
      </c>
      <c r="AH11" s="287">
        <v>196.453</v>
      </c>
      <c r="AI11" s="186" t="s">
        <v>982</v>
      </c>
      <c r="AJ11" s="147" t="s">
        <v>982</v>
      </c>
      <c r="AK11" s="147" t="s">
        <v>982</v>
      </c>
      <c r="AL11" s="292" t="s">
        <v>982</v>
      </c>
      <c r="AM11" s="293" t="s">
        <v>982</v>
      </c>
      <c r="AN11" s="193">
        <v>0</v>
      </c>
      <c r="AO11" s="296" t="s">
        <v>982</v>
      </c>
      <c r="AP11" s="299" t="s">
        <v>982</v>
      </c>
      <c r="AQ11" s="481" t="str">
        <f t="shared" si="2"/>
        <v>NA</v>
      </c>
      <c r="AR11" s="52"/>
    </row>
    <row r="12" spans="1:44" ht="216.75">
      <c r="A12" s="147" t="s">
        <v>112</v>
      </c>
      <c r="B12" s="381" t="s">
        <v>19</v>
      </c>
      <c r="C12" s="33" t="s">
        <v>653</v>
      </c>
      <c r="D12" s="40" t="s">
        <v>930</v>
      </c>
      <c r="E12" s="1" t="s">
        <v>969</v>
      </c>
      <c r="F12" s="1"/>
      <c r="G12" s="1"/>
      <c r="H12" s="1"/>
      <c r="I12" s="1"/>
      <c r="J12" s="41" t="s">
        <v>931</v>
      </c>
      <c r="K12" s="41" t="s">
        <v>932</v>
      </c>
      <c r="L12" s="142" t="s">
        <v>933</v>
      </c>
      <c r="M12" s="41"/>
      <c r="N12" s="41"/>
      <c r="O12" s="41"/>
      <c r="P12" s="41" t="s">
        <v>934</v>
      </c>
      <c r="Q12" s="41" t="s">
        <v>935</v>
      </c>
      <c r="R12" s="142" t="s">
        <v>936</v>
      </c>
      <c r="S12" s="41"/>
      <c r="T12" s="41"/>
      <c r="U12" s="142"/>
      <c r="V12" s="143" t="s">
        <v>1235</v>
      </c>
      <c r="W12" s="1"/>
      <c r="X12" s="1"/>
      <c r="Y12" s="144" t="s">
        <v>969</v>
      </c>
      <c r="Z12" s="41"/>
      <c r="AA12" s="44"/>
      <c r="AB12" s="1"/>
      <c r="AC12" s="285" t="s">
        <v>982</v>
      </c>
      <c r="AD12" s="285" t="s">
        <v>982</v>
      </c>
      <c r="AE12" s="285"/>
      <c r="AF12" s="285" t="s">
        <v>982</v>
      </c>
      <c r="AG12" s="285" t="s">
        <v>982</v>
      </c>
      <c r="AH12" s="286" t="s">
        <v>982</v>
      </c>
      <c r="AI12" s="186" t="s">
        <v>982</v>
      </c>
      <c r="AJ12" s="147" t="s">
        <v>982</v>
      </c>
      <c r="AK12" s="147" t="s">
        <v>982</v>
      </c>
      <c r="AL12" s="280">
        <v>1430</v>
      </c>
      <c r="AM12" s="193">
        <v>0.326</v>
      </c>
      <c r="AN12" s="193">
        <v>0</v>
      </c>
      <c r="AO12" s="296" t="s">
        <v>982</v>
      </c>
      <c r="AP12" s="299" t="s">
        <v>982</v>
      </c>
      <c r="AQ12" s="481" t="str">
        <f t="shared" si="2"/>
        <v>NA</v>
      </c>
      <c r="AR12" s="52"/>
    </row>
    <row r="13" spans="1:44" ht="216.75">
      <c r="A13" s="147" t="s">
        <v>113</v>
      </c>
      <c r="B13" s="381" t="s">
        <v>937</v>
      </c>
      <c r="C13" s="33" t="s">
        <v>652</v>
      </c>
      <c r="D13" s="40" t="s">
        <v>938</v>
      </c>
      <c r="E13" s="1" t="s">
        <v>969</v>
      </c>
      <c r="F13" s="1"/>
      <c r="G13" s="1"/>
      <c r="H13" s="1"/>
      <c r="I13" s="1"/>
      <c r="J13" s="41" t="s">
        <v>939</v>
      </c>
      <c r="K13" s="41" t="s">
        <v>688</v>
      </c>
      <c r="L13" s="142" t="s">
        <v>951</v>
      </c>
      <c r="M13" s="41"/>
      <c r="N13" s="41"/>
      <c r="O13" s="41"/>
      <c r="P13" s="41" t="s">
        <v>908</v>
      </c>
      <c r="Q13" s="41" t="s">
        <v>909</v>
      </c>
      <c r="R13" s="142" t="s">
        <v>910</v>
      </c>
      <c r="S13" s="41"/>
      <c r="T13" s="41"/>
      <c r="U13" s="41"/>
      <c r="V13" s="143" t="s">
        <v>1235</v>
      </c>
      <c r="W13" s="1"/>
      <c r="X13" s="1"/>
      <c r="Y13" s="144" t="s">
        <v>969</v>
      </c>
      <c r="Z13" s="41"/>
      <c r="AA13" s="44"/>
      <c r="AB13" s="1"/>
      <c r="AC13" s="285" t="s">
        <v>982</v>
      </c>
      <c r="AD13" s="285" t="s">
        <v>982</v>
      </c>
      <c r="AE13" s="285"/>
      <c r="AF13" s="285" t="s">
        <v>982</v>
      </c>
      <c r="AG13" s="285" t="s">
        <v>982</v>
      </c>
      <c r="AH13" s="286">
        <v>100</v>
      </c>
      <c r="AI13" s="186">
        <v>600</v>
      </c>
      <c r="AJ13" s="147">
        <v>0.04</v>
      </c>
      <c r="AK13" s="147" t="s">
        <v>982</v>
      </c>
      <c r="AL13" s="280">
        <v>807.258</v>
      </c>
      <c r="AM13" s="193">
        <v>0.038</v>
      </c>
      <c r="AN13" s="193">
        <v>0</v>
      </c>
      <c r="AO13" s="295">
        <f t="shared" si="0"/>
        <v>0.12387613377631439</v>
      </c>
      <c r="AP13" s="299">
        <f t="shared" si="1"/>
        <v>2631.5789473684213</v>
      </c>
      <c r="AQ13" s="481" t="str">
        <f t="shared" si="2"/>
        <v>NA</v>
      </c>
      <c r="AR13" s="52" t="s">
        <v>711</v>
      </c>
    </row>
    <row r="14" spans="1:44" ht="409.5">
      <c r="A14" s="147" t="s">
        <v>114</v>
      </c>
      <c r="B14" s="381" t="s">
        <v>952</v>
      </c>
      <c r="C14" s="33" t="s">
        <v>655</v>
      </c>
      <c r="D14" s="40" t="s">
        <v>581</v>
      </c>
      <c r="E14" s="1" t="s">
        <v>969</v>
      </c>
      <c r="F14" s="1"/>
      <c r="G14" s="1"/>
      <c r="H14" s="1"/>
      <c r="I14" s="1"/>
      <c r="J14" s="41"/>
      <c r="K14" s="41"/>
      <c r="L14" s="41"/>
      <c r="M14" s="41" t="s">
        <v>904</v>
      </c>
      <c r="N14" s="41" t="s">
        <v>905</v>
      </c>
      <c r="O14" s="142" t="s">
        <v>906</v>
      </c>
      <c r="P14" s="41" t="s">
        <v>908</v>
      </c>
      <c r="Q14" s="41"/>
      <c r="R14" s="41"/>
      <c r="S14" s="41"/>
      <c r="T14" s="41"/>
      <c r="U14" s="41"/>
      <c r="V14" s="142"/>
      <c r="W14" s="1"/>
      <c r="X14" s="1"/>
      <c r="Y14" s="144"/>
      <c r="Z14" s="41" t="s">
        <v>969</v>
      </c>
      <c r="AA14" s="44"/>
      <c r="AB14" s="1"/>
      <c r="AC14" s="285" t="s">
        <v>982</v>
      </c>
      <c r="AD14" s="285" t="s">
        <v>982</v>
      </c>
      <c r="AE14" s="285"/>
      <c r="AF14" s="285" t="s">
        <v>982</v>
      </c>
      <c r="AG14" s="285" t="s">
        <v>982</v>
      </c>
      <c r="AH14" s="286" t="s">
        <v>982</v>
      </c>
      <c r="AI14" s="186" t="s">
        <v>982</v>
      </c>
      <c r="AJ14" s="147" t="s">
        <v>982</v>
      </c>
      <c r="AK14" s="147" t="s">
        <v>982</v>
      </c>
      <c r="AL14" s="292" t="s">
        <v>982</v>
      </c>
      <c r="AM14" s="293" t="s">
        <v>982</v>
      </c>
      <c r="AN14" s="193">
        <v>0</v>
      </c>
      <c r="AO14" s="296" t="s">
        <v>982</v>
      </c>
      <c r="AP14" s="299" t="s">
        <v>982</v>
      </c>
      <c r="AQ14" s="481" t="str">
        <f t="shared" si="2"/>
        <v>NA</v>
      </c>
      <c r="AR14" s="52"/>
    </row>
    <row r="15" spans="1:44" ht="216.75">
      <c r="A15" s="147" t="s">
        <v>115</v>
      </c>
      <c r="B15" s="381" t="s">
        <v>582</v>
      </c>
      <c r="C15" s="33" t="s">
        <v>656</v>
      </c>
      <c r="D15" s="40" t="s">
        <v>584</v>
      </c>
      <c r="E15" s="1" t="s">
        <v>969</v>
      </c>
      <c r="F15" s="1"/>
      <c r="G15" s="1"/>
      <c r="H15" s="1"/>
      <c r="I15" s="1"/>
      <c r="J15" s="41" t="s">
        <v>585</v>
      </c>
      <c r="K15" s="41" t="s">
        <v>586</v>
      </c>
      <c r="L15" s="142" t="s">
        <v>587</v>
      </c>
      <c r="M15" s="41" t="s">
        <v>907</v>
      </c>
      <c r="N15" s="41"/>
      <c r="O15" s="41"/>
      <c r="P15" s="41" t="s">
        <v>16</v>
      </c>
      <c r="Q15" s="41" t="s">
        <v>17</v>
      </c>
      <c r="R15" s="142" t="s">
        <v>18</v>
      </c>
      <c r="S15" s="41"/>
      <c r="T15" s="41"/>
      <c r="U15" s="41"/>
      <c r="V15" s="143" t="s">
        <v>1216</v>
      </c>
      <c r="W15" s="1" t="s">
        <v>588</v>
      </c>
      <c r="X15" s="1"/>
      <c r="Y15" s="144"/>
      <c r="Z15" s="41"/>
      <c r="AA15" s="44" t="s">
        <v>589</v>
      </c>
      <c r="AB15" s="1"/>
      <c r="AC15" s="285" t="s">
        <v>982</v>
      </c>
      <c r="AD15" s="285" t="s">
        <v>982</v>
      </c>
      <c r="AE15" s="285"/>
      <c r="AF15" s="285" t="s">
        <v>982</v>
      </c>
      <c r="AG15" s="285" t="s">
        <v>982</v>
      </c>
      <c r="AH15" s="286" t="s">
        <v>982</v>
      </c>
      <c r="AI15" s="186" t="s">
        <v>982</v>
      </c>
      <c r="AJ15" s="147" t="s">
        <v>982</v>
      </c>
      <c r="AK15" s="147" t="s">
        <v>982</v>
      </c>
      <c r="AL15" s="292" t="s">
        <v>982</v>
      </c>
      <c r="AM15" s="293" t="s">
        <v>982</v>
      </c>
      <c r="AN15" s="193">
        <v>0</v>
      </c>
      <c r="AO15" s="296" t="s">
        <v>982</v>
      </c>
      <c r="AP15" s="299" t="s">
        <v>982</v>
      </c>
      <c r="AQ15" s="481" t="str">
        <f t="shared" si="2"/>
        <v>NA</v>
      </c>
      <c r="AR15" s="52"/>
    </row>
    <row r="16" spans="1:44" ht="216.75">
      <c r="A16" s="147" t="s">
        <v>116</v>
      </c>
      <c r="B16" s="381" t="s">
        <v>1272</v>
      </c>
      <c r="C16" s="33" t="s">
        <v>657</v>
      </c>
      <c r="D16" s="40" t="s">
        <v>590</v>
      </c>
      <c r="E16" s="1"/>
      <c r="F16" s="1"/>
      <c r="G16" s="1"/>
      <c r="H16" s="1" t="s">
        <v>969</v>
      </c>
      <c r="I16" s="1"/>
      <c r="J16" s="41" t="s">
        <v>591</v>
      </c>
      <c r="K16" s="41" t="s">
        <v>592</v>
      </c>
      <c r="L16" s="142" t="s">
        <v>593</v>
      </c>
      <c r="M16" s="41" t="s">
        <v>907</v>
      </c>
      <c r="N16" s="41"/>
      <c r="O16" s="41"/>
      <c r="P16" s="41" t="s">
        <v>338</v>
      </c>
      <c r="Q16" s="41"/>
      <c r="R16" s="41"/>
      <c r="S16" s="41"/>
      <c r="T16" s="41"/>
      <c r="U16" s="41"/>
      <c r="V16" s="142"/>
      <c r="W16" s="1"/>
      <c r="X16" s="1"/>
      <c r="Y16" s="144"/>
      <c r="Z16" s="41" t="s">
        <v>969</v>
      </c>
      <c r="AA16" s="44"/>
      <c r="AB16" s="1"/>
      <c r="AC16" s="285" t="s">
        <v>982</v>
      </c>
      <c r="AD16" s="285" t="s">
        <v>982</v>
      </c>
      <c r="AE16" s="288"/>
      <c r="AF16" s="285" t="s">
        <v>982</v>
      </c>
      <c r="AG16" s="285" t="s">
        <v>982</v>
      </c>
      <c r="AH16" s="289">
        <v>391.862</v>
      </c>
      <c r="AI16" s="186" t="s">
        <v>982</v>
      </c>
      <c r="AJ16" s="147" t="s">
        <v>982</v>
      </c>
      <c r="AK16" s="147" t="s">
        <v>982</v>
      </c>
      <c r="AL16" s="292" t="s">
        <v>982</v>
      </c>
      <c r="AM16" s="293" t="s">
        <v>982</v>
      </c>
      <c r="AN16" s="193">
        <v>0</v>
      </c>
      <c r="AO16" s="296" t="s">
        <v>982</v>
      </c>
      <c r="AP16" s="299" t="s">
        <v>982</v>
      </c>
      <c r="AQ16" s="481" t="str">
        <f t="shared" si="2"/>
        <v>NA</v>
      </c>
      <c r="AR16" s="52" t="s">
        <v>898</v>
      </c>
    </row>
    <row r="17" spans="1:44" ht="331.5">
      <c r="A17" s="147" t="s">
        <v>117</v>
      </c>
      <c r="B17" s="381" t="s">
        <v>594</v>
      </c>
      <c r="C17" s="33" t="s">
        <v>657</v>
      </c>
      <c r="D17" s="40" t="s">
        <v>324</v>
      </c>
      <c r="E17" s="1"/>
      <c r="F17" s="1" t="s">
        <v>969</v>
      </c>
      <c r="G17" s="1"/>
      <c r="H17" s="1"/>
      <c r="I17" s="1"/>
      <c r="J17" s="41" t="s">
        <v>325</v>
      </c>
      <c r="K17" s="41" t="s">
        <v>326</v>
      </c>
      <c r="L17" s="142" t="s">
        <v>327</v>
      </c>
      <c r="M17" s="41" t="s">
        <v>328</v>
      </c>
      <c r="N17" s="41"/>
      <c r="O17" s="41"/>
      <c r="P17" s="41" t="s">
        <v>934</v>
      </c>
      <c r="Q17" s="41" t="s">
        <v>935</v>
      </c>
      <c r="R17" s="142" t="s">
        <v>936</v>
      </c>
      <c r="S17" s="41" t="s">
        <v>911</v>
      </c>
      <c r="T17" s="41" t="s">
        <v>912</v>
      </c>
      <c r="U17" s="142" t="s">
        <v>913</v>
      </c>
      <c r="V17" s="143" t="s">
        <v>1235</v>
      </c>
      <c r="W17" s="1"/>
      <c r="X17" s="1"/>
      <c r="Y17" s="144" t="s">
        <v>969</v>
      </c>
      <c r="Z17" s="41"/>
      <c r="AA17" s="44"/>
      <c r="AB17" s="1"/>
      <c r="AC17" s="285" t="s">
        <v>982</v>
      </c>
      <c r="AD17" s="285" t="s">
        <v>982</v>
      </c>
      <c r="AE17" s="285"/>
      <c r="AF17" s="285" t="s">
        <v>982</v>
      </c>
      <c r="AG17" s="285" t="s">
        <v>982</v>
      </c>
      <c r="AH17" s="286">
        <v>152.625</v>
      </c>
      <c r="AI17" s="186" t="s">
        <v>982</v>
      </c>
      <c r="AJ17" s="147" t="s">
        <v>982</v>
      </c>
      <c r="AK17" s="147" t="s">
        <v>982</v>
      </c>
      <c r="AL17" s="280">
        <v>2374</v>
      </c>
      <c r="AM17" s="193">
        <v>0.16</v>
      </c>
      <c r="AN17" s="193">
        <v>0</v>
      </c>
      <c r="AO17" s="295">
        <f t="shared" si="0"/>
        <v>0.06429022746419545</v>
      </c>
      <c r="AP17" s="299">
        <f t="shared" si="1"/>
        <v>953.90625</v>
      </c>
      <c r="AQ17" s="481" t="str">
        <f t="shared" si="2"/>
        <v>NA</v>
      </c>
      <c r="AR17" s="52"/>
    </row>
    <row r="18" spans="2:44" ht="12.75">
      <c r="B18" s="274" t="s">
        <v>660</v>
      </c>
      <c r="C18" s="265"/>
      <c r="D18" s="266"/>
      <c r="E18" s="267"/>
      <c r="F18" s="267"/>
      <c r="G18" s="267"/>
      <c r="H18" s="267"/>
      <c r="I18" s="267"/>
      <c r="J18" s="257"/>
      <c r="K18" s="257"/>
      <c r="L18" s="268"/>
      <c r="M18" s="257"/>
      <c r="N18" s="257"/>
      <c r="O18" s="257"/>
      <c r="P18" s="257"/>
      <c r="Q18" s="257"/>
      <c r="R18" s="268"/>
      <c r="S18" s="257"/>
      <c r="T18" s="257"/>
      <c r="U18" s="268"/>
      <c r="V18" s="268"/>
      <c r="W18" s="267"/>
      <c r="X18" s="267"/>
      <c r="Y18" s="257"/>
      <c r="Z18" s="257"/>
      <c r="AA18" s="269"/>
      <c r="AB18" s="267"/>
      <c r="AC18" s="290">
        <f>SUM(AC6:AC17)</f>
        <v>0</v>
      </c>
      <c r="AD18" s="290">
        <f aca="true" t="shared" si="3" ref="AD18:AN18">SUM(AD6:AD17)</f>
        <v>0</v>
      </c>
      <c r="AE18" s="290">
        <f t="shared" si="3"/>
        <v>808.509</v>
      </c>
      <c r="AF18" s="290">
        <f t="shared" si="3"/>
        <v>0</v>
      </c>
      <c r="AG18" s="290">
        <f t="shared" si="3"/>
        <v>0</v>
      </c>
      <c r="AH18" s="290">
        <f t="shared" si="3"/>
        <v>2336.915</v>
      </c>
      <c r="AI18" s="479">
        <f t="shared" si="3"/>
        <v>14420</v>
      </c>
      <c r="AJ18" s="276">
        <f t="shared" si="3"/>
        <v>3.84</v>
      </c>
      <c r="AK18" s="276">
        <f t="shared" si="3"/>
        <v>0</v>
      </c>
      <c r="AL18" s="275">
        <f t="shared" si="3"/>
        <v>25822.931</v>
      </c>
      <c r="AM18" s="272">
        <f t="shared" si="3"/>
        <v>4.114999999999999</v>
      </c>
      <c r="AN18" s="275">
        <f t="shared" si="3"/>
        <v>0</v>
      </c>
      <c r="AO18" s="297">
        <f t="shared" si="0"/>
        <v>0.09049766658943556</v>
      </c>
      <c r="AP18" s="300">
        <f t="shared" si="1"/>
        <v>567.9015795868773</v>
      </c>
      <c r="AQ18" s="482" t="str">
        <f t="shared" si="2"/>
        <v>NA</v>
      </c>
      <c r="AR18" s="273"/>
    </row>
    <row r="19" spans="1:44" ht="216.75">
      <c r="A19" s="147" t="s">
        <v>118</v>
      </c>
      <c r="B19" s="33" t="s">
        <v>840</v>
      </c>
      <c r="C19" s="33" t="s">
        <v>837</v>
      </c>
      <c r="D19" s="40" t="s">
        <v>334</v>
      </c>
      <c r="E19" s="1" t="s">
        <v>969</v>
      </c>
      <c r="F19" s="1"/>
      <c r="G19" s="1"/>
      <c r="H19" s="1"/>
      <c r="I19" s="1"/>
      <c r="J19" s="41" t="s">
        <v>335</v>
      </c>
      <c r="K19" s="41" t="s">
        <v>336</v>
      </c>
      <c r="L19" s="142" t="s">
        <v>337</v>
      </c>
      <c r="M19" s="41" t="s">
        <v>907</v>
      </c>
      <c r="N19" s="41"/>
      <c r="O19" s="41"/>
      <c r="P19" s="41" t="s">
        <v>338</v>
      </c>
      <c r="Q19" s="41" t="s">
        <v>339</v>
      </c>
      <c r="R19" s="142" t="s">
        <v>340</v>
      </c>
      <c r="S19" s="41"/>
      <c r="T19" s="41"/>
      <c r="U19" s="41"/>
      <c r="V19" s="143" t="s">
        <v>1216</v>
      </c>
      <c r="W19" s="1" t="s">
        <v>341</v>
      </c>
      <c r="X19" s="1"/>
      <c r="Y19" s="144"/>
      <c r="Z19" s="41" t="s">
        <v>969</v>
      </c>
      <c r="AA19" s="44"/>
      <c r="AB19" s="1"/>
      <c r="AC19" s="285" t="s">
        <v>982</v>
      </c>
      <c r="AD19" s="285" t="s">
        <v>982</v>
      </c>
      <c r="AE19" s="285"/>
      <c r="AF19" s="285" t="s">
        <v>982</v>
      </c>
      <c r="AG19" s="285" t="s">
        <v>982</v>
      </c>
      <c r="AH19" s="286">
        <v>1233.286</v>
      </c>
      <c r="AI19" s="186" t="s">
        <v>982</v>
      </c>
      <c r="AJ19" s="147" t="s">
        <v>982</v>
      </c>
      <c r="AK19" s="147" t="s">
        <v>982</v>
      </c>
      <c r="AL19" s="280">
        <v>276</v>
      </c>
      <c r="AM19" s="193">
        <v>0.045</v>
      </c>
      <c r="AN19" s="193">
        <v>0</v>
      </c>
      <c r="AO19" s="295">
        <f t="shared" si="0"/>
        <v>4.468427536231884</v>
      </c>
      <c r="AP19" s="299">
        <f t="shared" si="1"/>
        <v>27406.355555555558</v>
      </c>
      <c r="AQ19" s="481" t="str">
        <f t="shared" si="2"/>
        <v>NA</v>
      </c>
      <c r="AR19" s="52"/>
    </row>
    <row r="20" spans="1:44" ht="331.5">
      <c r="A20" s="147" t="s">
        <v>119</v>
      </c>
      <c r="B20" s="33" t="s">
        <v>342</v>
      </c>
      <c r="C20" s="33" t="s">
        <v>1380</v>
      </c>
      <c r="D20" s="40" t="s">
        <v>713</v>
      </c>
      <c r="E20" s="1"/>
      <c r="F20" s="1" t="s">
        <v>969</v>
      </c>
      <c r="G20" s="1"/>
      <c r="H20" s="1"/>
      <c r="I20" s="1"/>
      <c r="J20" s="41" t="s">
        <v>714</v>
      </c>
      <c r="K20" s="41" t="s">
        <v>715</v>
      </c>
      <c r="L20" s="142" t="s">
        <v>716</v>
      </c>
      <c r="M20" s="41" t="s">
        <v>907</v>
      </c>
      <c r="N20" s="41"/>
      <c r="O20" s="41"/>
      <c r="P20" s="41" t="s">
        <v>338</v>
      </c>
      <c r="Q20" s="41" t="s">
        <v>339</v>
      </c>
      <c r="R20" s="142" t="s">
        <v>340</v>
      </c>
      <c r="S20" s="41" t="s">
        <v>911</v>
      </c>
      <c r="T20" s="41" t="s">
        <v>912</v>
      </c>
      <c r="U20" s="142" t="s">
        <v>913</v>
      </c>
      <c r="V20" s="143" t="s">
        <v>1235</v>
      </c>
      <c r="W20" s="1"/>
      <c r="X20" s="1"/>
      <c r="Y20" s="144" t="s">
        <v>969</v>
      </c>
      <c r="Z20" s="41"/>
      <c r="AA20" s="44"/>
      <c r="AB20" s="1"/>
      <c r="AC20" s="285" t="s">
        <v>982</v>
      </c>
      <c r="AD20" s="285" t="s">
        <v>982</v>
      </c>
      <c r="AE20" s="285"/>
      <c r="AF20" s="285" t="s">
        <v>982</v>
      </c>
      <c r="AG20" s="285" t="s">
        <v>982</v>
      </c>
      <c r="AH20" s="286">
        <v>355.01</v>
      </c>
      <c r="AI20" s="186" t="s">
        <v>982</v>
      </c>
      <c r="AJ20" s="147" t="s">
        <v>982</v>
      </c>
      <c r="AK20" s="147" t="s">
        <v>982</v>
      </c>
      <c r="AL20" s="280">
        <v>402</v>
      </c>
      <c r="AM20" s="193">
        <v>0.911</v>
      </c>
      <c r="AN20" s="193">
        <v>0</v>
      </c>
      <c r="AO20" s="295">
        <f t="shared" si="0"/>
        <v>0.8831094527363184</v>
      </c>
      <c r="AP20" s="299">
        <f t="shared" si="1"/>
        <v>389.6926454445664</v>
      </c>
      <c r="AQ20" s="481" t="str">
        <f t="shared" si="2"/>
        <v>NA</v>
      </c>
      <c r="AR20" s="52" t="s">
        <v>691</v>
      </c>
    </row>
    <row r="21" spans="1:44" ht="216.75">
      <c r="A21" s="147" t="s">
        <v>120</v>
      </c>
      <c r="B21" s="33" t="s">
        <v>698</v>
      </c>
      <c r="C21" s="33" t="s">
        <v>1380</v>
      </c>
      <c r="D21" s="40" t="s">
        <v>699</v>
      </c>
      <c r="E21" s="1" t="s">
        <v>969</v>
      </c>
      <c r="F21" s="1"/>
      <c r="G21" s="1"/>
      <c r="H21" s="1"/>
      <c r="I21" s="1"/>
      <c r="J21" s="41" t="s">
        <v>714</v>
      </c>
      <c r="K21" s="41" t="s">
        <v>715</v>
      </c>
      <c r="L21" s="142" t="s">
        <v>716</v>
      </c>
      <c r="M21" s="41"/>
      <c r="N21" s="41"/>
      <c r="O21" s="41"/>
      <c r="P21" s="41" t="s">
        <v>338</v>
      </c>
      <c r="Q21" s="41" t="s">
        <v>339</v>
      </c>
      <c r="R21" s="142" t="s">
        <v>340</v>
      </c>
      <c r="S21" s="41"/>
      <c r="T21" s="41"/>
      <c r="U21" s="142"/>
      <c r="V21" s="143"/>
      <c r="W21" s="1"/>
      <c r="X21" s="1"/>
      <c r="Y21" s="144"/>
      <c r="Z21" s="41" t="s">
        <v>969</v>
      </c>
      <c r="AA21" s="1"/>
      <c r="AB21" s="44"/>
      <c r="AC21" s="285" t="s">
        <v>982</v>
      </c>
      <c r="AD21" s="285" t="s">
        <v>982</v>
      </c>
      <c r="AE21" s="285"/>
      <c r="AF21" s="285" t="s">
        <v>982</v>
      </c>
      <c r="AG21" s="285" t="s">
        <v>982</v>
      </c>
      <c r="AH21" s="287">
        <v>708.8718</v>
      </c>
      <c r="AI21" s="186" t="s">
        <v>982</v>
      </c>
      <c r="AJ21" s="147" t="s">
        <v>982</v>
      </c>
      <c r="AK21" s="147" t="s">
        <v>982</v>
      </c>
      <c r="AL21" s="281">
        <v>1844</v>
      </c>
      <c r="AM21" s="225">
        <v>1.652</v>
      </c>
      <c r="AN21" s="193">
        <v>0</v>
      </c>
      <c r="AO21" s="295">
        <f t="shared" si="0"/>
        <v>0.384420715835141</v>
      </c>
      <c r="AP21" s="299">
        <f t="shared" si="1"/>
        <v>429.0991525423729</v>
      </c>
      <c r="AQ21" s="481" t="str">
        <f t="shared" si="2"/>
        <v>NA</v>
      </c>
      <c r="AR21" s="52" t="s">
        <v>692</v>
      </c>
    </row>
    <row r="22" spans="1:44" ht="216.75">
      <c r="A22" s="147" t="s">
        <v>121</v>
      </c>
      <c r="B22" s="33" t="s">
        <v>839</v>
      </c>
      <c r="C22" s="33" t="s">
        <v>837</v>
      </c>
      <c r="D22" s="40" t="s">
        <v>717</v>
      </c>
      <c r="E22" s="1" t="s">
        <v>969</v>
      </c>
      <c r="F22" s="1"/>
      <c r="G22" s="1"/>
      <c r="H22" s="1"/>
      <c r="I22" s="1"/>
      <c r="J22" s="41" t="s">
        <v>714</v>
      </c>
      <c r="K22" s="41" t="s">
        <v>715</v>
      </c>
      <c r="L22" s="142" t="s">
        <v>716</v>
      </c>
      <c r="M22" s="41" t="s">
        <v>907</v>
      </c>
      <c r="N22" s="41"/>
      <c r="O22" s="41"/>
      <c r="P22" s="41" t="s">
        <v>338</v>
      </c>
      <c r="Q22" s="41"/>
      <c r="R22" s="41"/>
      <c r="S22" s="41"/>
      <c r="T22" s="41"/>
      <c r="U22" s="41"/>
      <c r="V22" s="142"/>
      <c r="W22" s="1"/>
      <c r="X22" s="1"/>
      <c r="Y22" s="144"/>
      <c r="Z22" s="41" t="s">
        <v>969</v>
      </c>
      <c r="AA22" s="44"/>
      <c r="AB22" s="1"/>
      <c r="AC22" s="285" t="s">
        <v>982</v>
      </c>
      <c r="AD22" s="285" t="s">
        <v>982</v>
      </c>
      <c r="AE22" s="285"/>
      <c r="AF22" s="285" t="s">
        <v>982</v>
      </c>
      <c r="AG22" s="285" t="s">
        <v>982</v>
      </c>
      <c r="AH22" s="287">
        <v>472.5812</v>
      </c>
      <c r="AI22" s="186" t="s">
        <v>982</v>
      </c>
      <c r="AJ22" s="147" t="s">
        <v>982</v>
      </c>
      <c r="AK22" s="147" t="s">
        <v>982</v>
      </c>
      <c r="AL22" s="281">
        <v>446</v>
      </c>
      <c r="AM22" s="225">
        <v>0.323</v>
      </c>
      <c r="AN22" s="193">
        <v>0</v>
      </c>
      <c r="AO22" s="295">
        <f t="shared" si="0"/>
        <v>1.0595991031390135</v>
      </c>
      <c r="AP22" s="299">
        <f t="shared" si="1"/>
        <v>1463.0996904024769</v>
      </c>
      <c r="AQ22" s="481" t="str">
        <f t="shared" si="2"/>
        <v>NA</v>
      </c>
      <c r="AR22" s="52" t="s">
        <v>518</v>
      </c>
    </row>
    <row r="23" spans="1:44" ht="216.75">
      <c r="A23" s="147" t="s">
        <v>122</v>
      </c>
      <c r="B23" s="33" t="s">
        <v>763</v>
      </c>
      <c r="C23" s="33" t="s">
        <v>1380</v>
      </c>
      <c r="D23" s="40" t="s">
        <v>695</v>
      </c>
      <c r="E23" s="1" t="s">
        <v>969</v>
      </c>
      <c r="F23" s="1"/>
      <c r="G23" s="1"/>
      <c r="H23" s="1"/>
      <c r="I23" s="1"/>
      <c r="J23" s="41" t="s">
        <v>714</v>
      </c>
      <c r="K23" s="41" t="s">
        <v>715</v>
      </c>
      <c r="L23" s="142" t="s">
        <v>716</v>
      </c>
      <c r="M23" s="41" t="s">
        <v>907</v>
      </c>
      <c r="N23" s="41"/>
      <c r="O23" s="41"/>
      <c r="P23" s="41" t="s">
        <v>338</v>
      </c>
      <c r="Q23" s="41" t="s">
        <v>339</v>
      </c>
      <c r="R23" s="142" t="s">
        <v>340</v>
      </c>
      <c r="S23" s="41"/>
      <c r="T23" s="41"/>
      <c r="U23" s="41"/>
      <c r="V23" s="142"/>
      <c r="W23" s="1"/>
      <c r="X23" s="1"/>
      <c r="Y23" s="144"/>
      <c r="Z23" s="41" t="s">
        <v>969</v>
      </c>
      <c r="AA23" s="44"/>
      <c r="AB23" s="1"/>
      <c r="AC23" s="285" t="s">
        <v>982</v>
      </c>
      <c r="AD23" s="285" t="s">
        <v>982</v>
      </c>
      <c r="AE23" s="285"/>
      <c r="AF23" s="285" t="s">
        <v>982</v>
      </c>
      <c r="AG23" s="285" t="s">
        <v>982</v>
      </c>
      <c r="AH23" s="287">
        <v>1030.924</v>
      </c>
      <c r="AI23" s="186" t="s">
        <v>982</v>
      </c>
      <c r="AJ23" s="147" t="s">
        <v>982</v>
      </c>
      <c r="AK23" s="147" t="s">
        <v>982</v>
      </c>
      <c r="AL23" s="280">
        <v>884</v>
      </c>
      <c r="AM23" s="193">
        <v>0.113</v>
      </c>
      <c r="AN23" s="193">
        <v>0</v>
      </c>
      <c r="AO23" s="295">
        <f t="shared" si="0"/>
        <v>1.1662036199095023</v>
      </c>
      <c r="AP23" s="299">
        <f t="shared" si="1"/>
        <v>9123.221238938053</v>
      </c>
      <c r="AQ23" s="481" t="str">
        <f t="shared" si="2"/>
        <v>NA</v>
      </c>
      <c r="AR23" s="52" t="s">
        <v>696</v>
      </c>
    </row>
    <row r="24" spans="1:44" ht="409.5">
      <c r="A24" s="147" t="s">
        <v>123</v>
      </c>
      <c r="B24" s="33" t="s">
        <v>764</v>
      </c>
      <c r="C24" s="33" t="s">
        <v>1380</v>
      </c>
      <c r="D24" s="40" t="s">
        <v>431</v>
      </c>
      <c r="E24" s="1"/>
      <c r="F24" s="1" t="s">
        <v>969</v>
      </c>
      <c r="G24" s="1"/>
      <c r="H24" s="1"/>
      <c r="I24" s="1"/>
      <c r="J24" s="41" t="s">
        <v>714</v>
      </c>
      <c r="K24" s="41" t="s">
        <v>715</v>
      </c>
      <c r="L24" s="142" t="s">
        <v>716</v>
      </c>
      <c r="M24" s="41" t="s">
        <v>432</v>
      </c>
      <c r="N24" s="41" t="s">
        <v>433</v>
      </c>
      <c r="O24" s="41"/>
      <c r="P24" s="41" t="s">
        <v>338</v>
      </c>
      <c r="Q24" s="41" t="s">
        <v>339</v>
      </c>
      <c r="R24" s="142" t="s">
        <v>340</v>
      </c>
      <c r="S24" s="41" t="s">
        <v>434</v>
      </c>
      <c r="T24" s="41" t="s">
        <v>1228</v>
      </c>
      <c r="U24" s="142" t="s">
        <v>1229</v>
      </c>
      <c r="V24" s="143" t="s">
        <v>1235</v>
      </c>
      <c r="W24" s="1"/>
      <c r="X24" s="1"/>
      <c r="Y24" s="144" t="s">
        <v>969</v>
      </c>
      <c r="Z24" s="41"/>
      <c r="AA24" s="44"/>
      <c r="AB24" s="1"/>
      <c r="AC24" s="285" t="s">
        <v>982</v>
      </c>
      <c r="AD24" s="285" t="s">
        <v>982</v>
      </c>
      <c r="AE24" s="288"/>
      <c r="AF24" s="285" t="s">
        <v>982</v>
      </c>
      <c r="AG24" s="285" t="s">
        <v>982</v>
      </c>
      <c r="AH24" s="287">
        <v>652.519</v>
      </c>
      <c r="AI24" s="186" t="s">
        <v>982</v>
      </c>
      <c r="AJ24" s="147" t="s">
        <v>982</v>
      </c>
      <c r="AK24" s="147" t="s">
        <v>982</v>
      </c>
      <c r="AL24" s="281">
        <v>4808</v>
      </c>
      <c r="AM24" s="225">
        <v>0.668</v>
      </c>
      <c r="AN24" s="225">
        <v>0</v>
      </c>
      <c r="AO24" s="295">
        <f t="shared" si="0"/>
        <v>0.13571526622296173</v>
      </c>
      <c r="AP24" s="299">
        <f t="shared" si="1"/>
        <v>976.8248502994012</v>
      </c>
      <c r="AQ24" s="481" t="str">
        <f t="shared" si="2"/>
        <v>NA</v>
      </c>
      <c r="AR24" s="52" t="s">
        <v>693</v>
      </c>
    </row>
    <row r="25" spans="1:44" ht="216.75">
      <c r="A25" s="147" t="s">
        <v>124</v>
      </c>
      <c r="B25" s="33" t="s">
        <v>435</v>
      </c>
      <c r="C25" s="33" t="s">
        <v>1380</v>
      </c>
      <c r="D25" s="40" t="s">
        <v>313</v>
      </c>
      <c r="E25" s="1" t="s">
        <v>969</v>
      </c>
      <c r="F25" s="1"/>
      <c r="G25" s="1"/>
      <c r="H25" s="1"/>
      <c r="I25" s="1"/>
      <c r="J25" s="41" t="s">
        <v>714</v>
      </c>
      <c r="K25" s="41" t="s">
        <v>715</v>
      </c>
      <c r="L25" s="142" t="s">
        <v>716</v>
      </c>
      <c r="M25" s="41" t="s">
        <v>907</v>
      </c>
      <c r="N25" s="41"/>
      <c r="O25" s="41"/>
      <c r="P25" s="41" t="s">
        <v>338</v>
      </c>
      <c r="Q25" s="41" t="s">
        <v>339</v>
      </c>
      <c r="R25" s="142" t="s">
        <v>340</v>
      </c>
      <c r="S25" s="41"/>
      <c r="T25" s="41"/>
      <c r="U25" s="41"/>
      <c r="V25" s="142"/>
      <c r="W25" s="1"/>
      <c r="X25" s="1"/>
      <c r="Y25" s="144"/>
      <c r="Z25" s="41" t="s">
        <v>969</v>
      </c>
      <c r="AA25" s="44"/>
      <c r="AB25" s="1"/>
      <c r="AC25" s="285" t="s">
        <v>982</v>
      </c>
      <c r="AD25" s="285" t="s">
        <v>982</v>
      </c>
      <c r="AE25" s="288"/>
      <c r="AF25" s="285" t="s">
        <v>982</v>
      </c>
      <c r="AG25" s="285" t="s">
        <v>982</v>
      </c>
      <c r="AH25" s="287">
        <v>921.056</v>
      </c>
      <c r="AI25" s="186" t="s">
        <v>982</v>
      </c>
      <c r="AJ25" s="147" t="s">
        <v>982</v>
      </c>
      <c r="AK25" s="147" t="s">
        <v>982</v>
      </c>
      <c r="AL25" s="281">
        <v>4156</v>
      </c>
      <c r="AM25" s="225">
        <v>0.969</v>
      </c>
      <c r="AN25" s="225">
        <v>0</v>
      </c>
      <c r="AO25" s="295">
        <f t="shared" si="0"/>
        <v>0.22162078922040424</v>
      </c>
      <c r="AP25" s="299">
        <f t="shared" si="1"/>
        <v>950.5221878224975</v>
      </c>
      <c r="AQ25" s="481" t="str">
        <f t="shared" si="2"/>
        <v>NA</v>
      </c>
      <c r="AR25" s="52" t="s">
        <v>694</v>
      </c>
    </row>
    <row r="26" spans="1:44" ht="216.75">
      <c r="A26" s="147" t="s">
        <v>125</v>
      </c>
      <c r="B26" s="33" t="s">
        <v>314</v>
      </c>
      <c r="C26" s="33" t="s">
        <v>1380</v>
      </c>
      <c r="D26" s="40" t="s">
        <v>315</v>
      </c>
      <c r="E26" s="1" t="s">
        <v>969</v>
      </c>
      <c r="F26" s="1"/>
      <c r="G26" s="1"/>
      <c r="H26" s="1"/>
      <c r="I26" s="1"/>
      <c r="J26" s="41" t="s">
        <v>316</v>
      </c>
      <c r="K26" s="41" t="s">
        <v>317</v>
      </c>
      <c r="L26" s="142" t="s">
        <v>318</v>
      </c>
      <c r="M26" s="41" t="s">
        <v>907</v>
      </c>
      <c r="N26" s="41"/>
      <c r="O26" s="41"/>
      <c r="P26" s="41" t="s">
        <v>338</v>
      </c>
      <c r="Q26" s="41" t="s">
        <v>339</v>
      </c>
      <c r="R26" s="142" t="s">
        <v>340</v>
      </c>
      <c r="S26" s="41"/>
      <c r="T26" s="41"/>
      <c r="U26" s="41"/>
      <c r="V26" s="142"/>
      <c r="W26" s="1"/>
      <c r="X26" s="1"/>
      <c r="Y26" s="144"/>
      <c r="Z26" s="41" t="s">
        <v>969</v>
      </c>
      <c r="AA26" s="44"/>
      <c r="AB26" s="1"/>
      <c r="AC26" s="285" t="s">
        <v>982</v>
      </c>
      <c r="AD26" s="285" t="s">
        <v>982</v>
      </c>
      <c r="AE26" s="288"/>
      <c r="AF26" s="285" t="s">
        <v>982</v>
      </c>
      <c r="AG26" s="285" t="s">
        <v>982</v>
      </c>
      <c r="AH26" s="287">
        <v>229.365</v>
      </c>
      <c r="AI26" s="186" t="s">
        <v>982</v>
      </c>
      <c r="AJ26" s="147" t="s">
        <v>982</v>
      </c>
      <c r="AK26" s="147" t="s">
        <v>982</v>
      </c>
      <c r="AL26" s="281">
        <v>85</v>
      </c>
      <c r="AM26" s="225">
        <v>0.013</v>
      </c>
      <c r="AN26" s="225">
        <v>0</v>
      </c>
      <c r="AO26" s="295">
        <f t="shared" si="0"/>
        <v>2.6984117647058823</v>
      </c>
      <c r="AP26" s="299">
        <f t="shared" si="1"/>
        <v>17643.46153846154</v>
      </c>
      <c r="AQ26" s="481" t="str">
        <f t="shared" si="2"/>
        <v>NA</v>
      </c>
      <c r="AR26" s="52"/>
    </row>
    <row r="27" spans="1:44" ht="216.75">
      <c r="A27" s="147" t="s">
        <v>126</v>
      </c>
      <c r="B27" s="33" t="s">
        <v>1262</v>
      </c>
      <c r="C27" s="33" t="s">
        <v>837</v>
      </c>
      <c r="D27" s="40" t="s">
        <v>1263</v>
      </c>
      <c r="E27" s="1" t="s">
        <v>969</v>
      </c>
      <c r="F27" s="1"/>
      <c r="G27" s="1"/>
      <c r="H27" s="1"/>
      <c r="I27" s="1"/>
      <c r="J27" s="41" t="s">
        <v>591</v>
      </c>
      <c r="K27" s="41" t="s">
        <v>592</v>
      </c>
      <c r="L27" s="142" t="s">
        <v>593</v>
      </c>
      <c r="M27" s="41" t="s">
        <v>907</v>
      </c>
      <c r="N27" s="41"/>
      <c r="O27" s="41"/>
      <c r="P27" s="41" t="s">
        <v>338</v>
      </c>
      <c r="Q27" s="41" t="s">
        <v>339</v>
      </c>
      <c r="R27" s="142" t="s">
        <v>340</v>
      </c>
      <c r="S27" s="41"/>
      <c r="T27" s="41"/>
      <c r="U27" s="41"/>
      <c r="V27" s="143" t="s">
        <v>1216</v>
      </c>
      <c r="W27" s="1" t="s">
        <v>1264</v>
      </c>
      <c r="X27" s="1"/>
      <c r="Y27" s="144" t="s">
        <v>969</v>
      </c>
      <c r="Z27" s="41"/>
      <c r="AA27" s="44"/>
      <c r="AB27" s="1"/>
      <c r="AC27" s="291" t="s">
        <v>982</v>
      </c>
      <c r="AD27" s="291" t="s">
        <v>982</v>
      </c>
      <c r="AE27" s="288"/>
      <c r="AF27" s="285" t="s">
        <v>982</v>
      </c>
      <c r="AG27" s="285" t="s">
        <v>982</v>
      </c>
      <c r="AH27" s="287">
        <v>1499.536</v>
      </c>
      <c r="AI27" s="186" t="s">
        <v>982</v>
      </c>
      <c r="AJ27" s="147" t="s">
        <v>982</v>
      </c>
      <c r="AK27" s="147" t="s">
        <v>982</v>
      </c>
      <c r="AL27" s="281">
        <v>890</v>
      </c>
      <c r="AM27" s="225">
        <v>0.36</v>
      </c>
      <c r="AN27" s="225">
        <v>0</v>
      </c>
      <c r="AO27" s="295">
        <f t="shared" si="0"/>
        <v>1.6848719101123597</v>
      </c>
      <c r="AP27" s="299">
        <f t="shared" si="1"/>
        <v>4165.377777777778</v>
      </c>
      <c r="AQ27" s="299" t="str">
        <f t="shared" si="2"/>
        <v>NA</v>
      </c>
      <c r="AR27" s="1" t="s">
        <v>897</v>
      </c>
    </row>
    <row r="28" spans="2:44" ht="12.75">
      <c r="B28" s="274" t="s">
        <v>660</v>
      </c>
      <c r="C28" s="265"/>
      <c r="D28" s="266"/>
      <c r="E28" s="267"/>
      <c r="F28" s="267"/>
      <c r="G28" s="267"/>
      <c r="H28" s="267"/>
      <c r="I28" s="267"/>
      <c r="J28" s="257"/>
      <c r="K28" s="257"/>
      <c r="L28" s="268"/>
      <c r="M28" s="257"/>
      <c r="N28" s="257"/>
      <c r="O28" s="257"/>
      <c r="P28" s="257"/>
      <c r="Q28" s="257"/>
      <c r="R28" s="268"/>
      <c r="S28" s="257"/>
      <c r="T28" s="257"/>
      <c r="U28" s="268"/>
      <c r="V28" s="268"/>
      <c r="W28" s="267"/>
      <c r="X28" s="267"/>
      <c r="Y28" s="257"/>
      <c r="Z28" s="257"/>
      <c r="AA28" s="269"/>
      <c r="AB28" s="267"/>
      <c r="AC28" s="290">
        <f aca="true" t="shared" si="4" ref="AC28:AN28">SUM(AC19:AC27)</f>
        <v>0</v>
      </c>
      <c r="AD28" s="290">
        <f t="shared" si="4"/>
        <v>0</v>
      </c>
      <c r="AE28" s="290">
        <f t="shared" si="4"/>
        <v>0</v>
      </c>
      <c r="AF28" s="290">
        <f t="shared" si="4"/>
        <v>0</v>
      </c>
      <c r="AG28" s="290">
        <f t="shared" si="4"/>
        <v>0</v>
      </c>
      <c r="AH28" s="290">
        <f t="shared" si="4"/>
        <v>7103.148999999999</v>
      </c>
      <c r="AI28" s="275">
        <f t="shared" si="4"/>
        <v>0</v>
      </c>
      <c r="AJ28" s="277">
        <f t="shared" si="4"/>
        <v>0</v>
      </c>
      <c r="AK28" s="277">
        <f t="shared" si="4"/>
        <v>0</v>
      </c>
      <c r="AL28" s="275">
        <f t="shared" si="4"/>
        <v>13791</v>
      </c>
      <c r="AM28" s="278">
        <f t="shared" si="4"/>
        <v>5.054</v>
      </c>
      <c r="AN28" s="278">
        <f t="shared" si="4"/>
        <v>0</v>
      </c>
      <c r="AO28" s="297">
        <f t="shared" si="0"/>
        <v>0.515056848669422</v>
      </c>
      <c r="AP28" s="300">
        <f t="shared" si="1"/>
        <v>1405.45092995647</v>
      </c>
      <c r="AQ28" s="482" t="str">
        <f t="shared" si="2"/>
        <v>NA</v>
      </c>
      <c r="AR28" s="273"/>
    </row>
    <row r="29" spans="1:44" ht="216.75">
      <c r="A29" s="147" t="s">
        <v>127</v>
      </c>
      <c r="B29" s="33" t="s">
        <v>329</v>
      </c>
      <c r="C29" s="33" t="s">
        <v>658</v>
      </c>
      <c r="D29" s="40" t="s">
        <v>330</v>
      </c>
      <c r="E29" s="1" t="s">
        <v>969</v>
      </c>
      <c r="F29" s="1"/>
      <c r="G29" s="1"/>
      <c r="H29" s="1"/>
      <c r="I29" s="1"/>
      <c r="J29" s="41" t="s">
        <v>331</v>
      </c>
      <c r="K29" s="41" t="s">
        <v>332</v>
      </c>
      <c r="L29" s="142" t="s">
        <v>333</v>
      </c>
      <c r="M29" s="41" t="s">
        <v>907</v>
      </c>
      <c r="N29" s="41"/>
      <c r="O29" s="41"/>
      <c r="P29" s="41" t="s">
        <v>908</v>
      </c>
      <c r="Q29" s="41"/>
      <c r="R29" s="41"/>
      <c r="S29" s="41"/>
      <c r="T29" s="41"/>
      <c r="U29" s="41"/>
      <c r="V29" s="142"/>
      <c r="W29" s="1"/>
      <c r="X29" s="1"/>
      <c r="Y29" s="144"/>
      <c r="Z29" s="41" t="s">
        <v>969</v>
      </c>
      <c r="AA29" s="44"/>
      <c r="AB29" s="1"/>
      <c r="AC29" s="285" t="s">
        <v>982</v>
      </c>
      <c r="AD29" s="285" t="s">
        <v>982</v>
      </c>
      <c r="AE29" s="285"/>
      <c r="AF29" s="285" t="s">
        <v>982</v>
      </c>
      <c r="AG29" s="285" t="s">
        <v>982</v>
      </c>
      <c r="AH29" s="286">
        <v>603.05</v>
      </c>
      <c r="AI29" s="186" t="s">
        <v>982</v>
      </c>
      <c r="AJ29" s="186" t="s">
        <v>982</v>
      </c>
      <c r="AK29" s="186" t="s">
        <v>982</v>
      </c>
      <c r="AL29" s="193">
        <v>2366</v>
      </c>
      <c r="AM29" s="193">
        <v>1.187</v>
      </c>
      <c r="AN29" s="193">
        <v>0</v>
      </c>
      <c r="AO29" s="295">
        <f t="shared" si="0"/>
        <v>0.25488165680473374</v>
      </c>
      <c r="AP29" s="299">
        <f t="shared" si="1"/>
        <v>508.04549283909006</v>
      </c>
      <c r="AQ29" s="481" t="str">
        <f t="shared" si="2"/>
        <v>NA</v>
      </c>
      <c r="AR29" s="52"/>
    </row>
    <row r="30" spans="1:44" ht="216.75">
      <c r="A30" s="147" t="s">
        <v>128</v>
      </c>
      <c r="B30" s="33" t="s">
        <v>612</v>
      </c>
      <c r="C30" s="33" t="s">
        <v>659</v>
      </c>
      <c r="D30" s="40" t="s">
        <v>1261</v>
      </c>
      <c r="E30" s="1" t="s">
        <v>969</v>
      </c>
      <c r="F30" s="1"/>
      <c r="G30" s="1"/>
      <c r="H30" s="1"/>
      <c r="I30" s="1"/>
      <c r="J30" s="41" t="s">
        <v>331</v>
      </c>
      <c r="K30" s="41" t="s">
        <v>332</v>
      </c>
      <c r="L30" s="142" t="s">
        <v>333</v>
      </c>
      <c r="M30" s="41" t="s">
        <v>907</v>
      </c>
      <c r="N30" s="41"/>
      <c r="O30" s="41"/>
      <c r="P30" s="41" t="s">
        <v>934</v>
      </c>
      <c r="Q30" s="41" t="s">
        <v>935</v>
      </c>
      <c r="R30" s="142" t="s">
        <v>936</v>
      </c>
      <c r="S30" s="41"/>
      <c r="T30" s="41"/>
      <c r="U30" s="41"/>
      <c r="V30" s="143" t="s">
        <v>1235</v>
      </c>
      <c r="W30" s="1"/>
      <c r="X30" s="1"/>
      <c r="Y30" s="144" t="s">
        <v>969</v>
      </c>
      <c r="Z30" s="41"/>
      <c r="AA30" s="44"/>
      <c r="AB30" s="1"/>
      <c r="AC30" s="285" t="s">
        <v>982</v>
      </c>
      <c r="AD30" s="285" t="s">
        <v>982</v>
      </c>
      <c r="AE30" s="288"/>
      <c r="AF30" s="285" t="s">
        <v>982</v>
      </c>
      <c r="AG30" s="285" t="s">
        <v>982</v>
      </c>
      <c r="AH30" s="287">
        <v>839.863</v>
      </c>
      <c r="AI30" s="186" t="s">
        <v>982</v>
      </c>
      <c r="AJ30" s="186" t="s">
        <v>982</v>
      </c>
      <c r="AK30" s="186" t="s">
        <v>982</v>
      </c>
      <c r="AL30" s="225">
        <v>5464</v>
      </c>
      <c r="AM30" s="225">
        <v>5.174</v>
      </c>
      <c r="AN30" s="225">
        <v>0</v>
      </c>
      <c r="AO30" s="295">
        <f t="shared" si="0"/>
        <v>0.1537084553440703</v>
      </c>
      <c r="AP30" s="299">
        <f t="shared" si="1"/>
        <v>162.32373405488983</v>
      </c>
      <c r="AQ30" s="481" t="str">
        <f t="shared" si="2"/>
        <v>NA</v>
      </c>
      <c r="AR30" s="52"/>
    </row>
    <row r="31" spans="2:44" ht="12.75">
      <c r="B31" s="274" t="s">
        <v>661</v>
      </c>
      <c r="C31" s="265"/>
      <c r="D31" s="266"/>
      <c r="E31" s="267"/>
      <c r="F31" s="267"/>
      <c r="G31" s="267"/>
      <c r="H31" s="267"/>
      <c r="I31" s="267"/>
      <c r="J31" s="257"/>
      <c r="K31" s="257"/>
      <c r="L31" s="268"/>
      <c r="M31" s="257"/>
      <c r="N31" s="257"/>
      <c r="O31" s="257"/>
      <c r="P31" s="257"/>
      <c r="Q31" s="257"/>
      <c r="R31" s="268"/>
      <c r="S31" s="257"/>
      <c r="T31" s="257"/>
      <c r="U31" s="268"/>
      <c r="V31" s="268"/>
      <c r="W31" s="267"/>
      <c r="X31" s="267"/>
      <c r="Y31" s="257"/>
      <c r="Z31" s="257"/>
      <c r="AA31" s="269"/>
      <c r="AB31" s="267"/>
      <c r="AC31" s="290">
        <f>SUM(AC29:AC30)</f>
        <v>0</v>
      </c>
      <c r="AD31" s="290">
        <f aca="true" t="shared" si="5" ref="AD31:AN31">SUM(AD29:AD30)</f>
        <v>0</v>
      </c>
      <c r="AE31" s="290">
        <f t="shared" si="5"/>
        <v>0</v>
      </c>
      <c r="AF31" s="290">
        <f t="shared" si="5"/>
        <v>0</v>
      </c>
      <c r="AG31" s="290">
        <f t="shared" si="5"/>
        <v>0</v>
      </c>
      <c r="AH31" s="290">
        <f t="shared" si="5"/>
        <v>1442.913</v>
      </c>
      <c r="AI31" s="275">
        <f t="shared" si="5"/>
        <v>0</v>
      </c>
      <c r="AJ31" s="275">
        <f t="shared" si="5"/>
        <v>0</v>
      </c>
      <c r="AK31" s="275">
        <f t="shared" si="5"/>
        <v>0</v>
      </c>
      <c r="AL31" s="275">
        <f t="shared" si="5"/>
        <v>7830</v>
      </c>
      <c r="AM31" s="278">
        <f t="shared" si="5"/>
        <v>6.361000000000001</v>
      </c>
      <c r="AN31" s="275">
        <f t="shared" si="5"/>
        <v>0</v>
      </c>
      <c r="AO31" s="297">
        <f t="shared" si="0"/>
        <v>0.1842800766283525</v>
      </c>
      <c r="AP31" s="300">
        <f t="shared" si="1"/>
        <v>226.83744694230464</v>
      </c>
      <c r="AQ31" s="482" t="str">
        <f t="shared" si="2"/>
        <v>NA</v>
      </c>
      <c r="AR31" s="273"/>
    </row>
    <row r="32" spans="2:45" ht="12.75">
      <c r="B32" s="388"/>
      <c r="C32" s="389"/>
      <c r="D32" s="389"/>
      <c r="E32" s="390"/>
      <c r="F32" s="390"/>
      <c r="G32" s="390"/>
      <c r="H32" s="390"/>
      <c r="I32" s="390"/>
      <c r="J32" s="391"/>
      <c r="K32" s="391"/>
      <c r="L32" s="392"/>
      <c r="M32" s="391"/>
      <c r="N32" s="391"/>
      <c r="O32" s="391"/>
      <c r="P32" s="391"/>
      <c r="Q32" s="391"/>
      <c r="R32" s="392"/>
      <c r="S32" s="391"/>
      <c r="T32" s="391"/>
      <c r="U32" s="392"/>
      <c r="V32" s="392"/>
      <c r="W32" s="390"/>
      <c r="X32" s="390"/>
      <c r="Y32" s="391"/>
      <c r="Z32" s="391"/>
      <c r="AA32" s="390"/>
      <c r="AB32" s="390"/>
      <c r="AC32" s="393"/>
      <c r="AD32" s="393"/>
      <c r="AE32" s="393"/>
      <c r="AF32" s="393"/>
      <c r="AG32" s="393"/>
      <c r="AH32" s="393"/>
      <c r="AI32" s="394"/>
      <c r="AJ32" s="394"/>
      <c r="AK32" s="394"/>
      <c r="AL32" s="394"/>
      <c r="AM32" s="395"/>
      <c r="AN32" s="394"/>
      <c r="AO32" s="396"/>
      <c r="AP32" s="397"/>
      <c r="AQ32" s="397"/>
      <c r="AR32" s="390"/>
      <c r="AS32" s="141"/>
    </row>
    <row r="33" spans="2:44" ht="12.75">
      <c r="B33" s="274" t="s">
        <v>651</v>
      </c>
      <c r="C33" s="274" t="s">
        <v>74</v>
      </c>
      <c r="D33" s="266"/>
      <c r="E33" s="267"/>
      <c r="F33" s="267"/>
      <c r="G33" s="267"/>
      <c r="H33" s="267"/>
      <c r="I33" s="267"/>
      <c r="J33" s="257"/>
      <c r="K33" s="257"/>
      <c r="L33" s="268"/>
      <c r="M33" s="257"/>
      <c r="N33" s="257"/>
      <c r="O33" s="257"/>
      <c r="P33" s="257"/>
      <c r="Q33" s="257"/>
      <c r="R33" s="268"/>
      <c r="S33" s="257"/>
      <c r="T33" s="257"/>
      <c r="U33" s="268"/>
      <c r="V33" s="268"/>
      <c r="W33" s="267"/>
      <c r="X33" s="267"/>
      <c r="Y33" s="257"/>
      <c r="Z33" s="257"/>
      <c r="AA33" s="269"/>
      <c r="AB33" s="267"/>
      <c r="AC33" s="290">
        <f>AC31+AC28+AC18</f>
        <v>0</v>
      </c>
      <c r="AD33" s="290">
        <f aca="true" t="shared" si="6" ref="AD33:AN33">AD31+AD28+AD18</f>
        <v>0</v>
      </c>
      <c r="AE33" s="290">
        <f t="shared" si="6"/>
        <v>808.509</v>
      </c>
      <c r="AF33" s="290">
        <f t="shared" si="6"/>
        <v>0</v>
      </c>
      <c r="AG33" s="290">
        <f t="shared" si="6"/>
        <v>0</v>
      </c>
      <c r="AH33" s="290">
        <f t="shared" si="6"/>
        <v>10882.976999999999</v>
      </c>
      <c r="AI33" s="275">
        <f t="shared" si="6"/>
        <v>14420</v>
      </c>
      <c r="AJ33" s="277">
        <f t="shared" si="6"/>
        <v>3.84</v>
      </c>
      <c r="AK33" s="277">
        <f t="shared" si="6"/>
        <v>0</v>
      </c>
      <c r="AL33" s="275">
        <f t="shared" si="6"/>
        <v>47443.931</v>
      </c>
      <c r="AM33" s="278">
        <f t="shared" si="6"/>
        <v>15.530000000000001</v>
      </c>
      <c r="AN33" s="278">
        <f t="shared" si="6"/>
        <v>0</v>
      </c>
      <c r="AO33" s="297">
        <f t="shared" si="0"/>
        <v>0.22938607258323515</v>
      </c>
      <c r="AP33" s="300">
        <f t="shared" si="1"/>
        <v>700.7712169993559</v>
      </c>
      <c r="AQ33" s="482" t="str">
        <f t="shared" si="2"/>
        <v>NA</v>
      </c>
      <c r="AR33" s="273"/>
    </row>
    <row r="36" ht="13.5" customHeight="1"/>
    <row r="37" ht="13.5" customHeight="1"/>
    <row r="67" ht="12.75"/>
    <row r="68" ht="12.75"/>
  </sheetData>
  <sheetProtection password="DE47" sheet="1" objects="1" scenarios="1"/>
  <hyperlinks>
    <hyperlink ref="L6" r:id="rId1" display="gwatana@smud.org/abatter@smud.org"/>
    <hyperlink ref="L7" r:id="rId2" display="gwatana@smud.org/abatter@smud.org"/>
    <hyperlink ref="L8" r:id="rId3" display="gwatana@smud.org/abatter@smud.org"/>
    <hyperlink ref="L9" r:id="rId4" display="gwatana@smud.org/abatter@smud.org"/>
    <hyperlink ref="L10" r:id="rId5" display="bthoma2@smud.org"/>
    <hyperlink ref="L11" r:id="rId6" display="rchan@smud.org"/>
    <hyperlink ref="L12" r:id="rId7" display="gwatana@smud.org"/>
    <hyperlink ref="L13" r:id="rId8" display="mkellow@smud.org"/>
    <hyperlink ref="O14" r:id="rId9" display="gwatana@smud.org/abatter@smud.org"/>
    <hyperlink ref="L15" r:id="rId10" display="pwiesne@smud.org"/>
    <hyperlink ref="L16" r:id="rId11" display="msarkov@smud.org"/>
    <hyperlink ref="L17" r:id="rId12" display="dmark@smud.org"/>
    <hyperlink ref="L29" r:id="rId13" display="rwiesne@smud.org"/>
    <hyperlink ref="L19" r:id="rId14" display="khapps@smud.org"/>
    <hyperlink ref="L20" r:id="rId15" display="cnovak@smud.org"/>
    <hyperlink ref="L22" r:id="rId16" display="cnovak@smud.org"/>
    <hyperlink ref="L23" r:id="rId17" display="cnovak@smud.org"/>
    <hyperlink ref="L24" r:id="rId18" display="cnovak@smud.org"/>
    <hyperlink ref="L25" r:id="rId19" display="cnovak@smud.org"/>
    <hyperlink ref="L26" r:id="rId20" display="syee@smud.org"/>
    <hyperlink ref="L30" r:id="rId21" display="rwiesne@smud.org"/>
    <hyperlink ref="L27" r:id="rId22" display="msarkov@smud.org"/>
    <hyperlink ref="R24" r:id="rId23" display="wlindel@smud.org"/>
    <hyperlink ref="U24" r:id="rId24" display="chappell@h-m-g.com"/>
    <hyperlink ref="R11" r:id="rId25" display="vwood@smud.org"/>
    <hyperlink ref="U11" r:id="rId26" display="mattb@rlw.com"/>
    <hyperlink ref="R15" r:id="rId27" display="vwood@smud.org"/>
    <hyperlink ref="R6" r:id="rId28" display="roberg@smud.org"/>
    <hyperlink ref="U6" r:id="rId29" display="mattb@rlw.com"/>
    <hyperlink ref="U7" r:id="rId30" display="mattb@rlw.com"/>
    <hyperlink ref="R7" r:id="rId31" display="roberg@smud.org"/>
    <hyperlink ref="R12" r:id="rId32" display="wbos@smud.org"/>
    <hyperlink ref="R13" r:id="rId33" display="roberg@smud.org"/>
    <hyperlink ref="R17" r:id="rId34" display="wbos@smud.org"/>
    <hyperlink ref="U17" r:id="rId35" display="mattb@rlw.com"/>
    <hyperlink ref="R19" r:id="rId36" display="wlindel@smud.org"/>
    <hyperlink ref="R20" r:id="rId37" display="wlindel@smud.org"/>
    <hyperlink ref="U20" r:id="rId38" display="mattb@rlw.com"/>
    <hyperlink ref="R25" r:id="rId39" display="wlindel@smud.org"/>
    <hyperlink ref="R26" r:id="rId40" display="wlindel@smud.org"/>
    <hyperlink ref="R30" r:id="rId41" display="wbos@smud.org"/>
    <hyperlink ref="R27" r:id="rId42" display="wlindel@smud.org"/>
    <hyperlink ref="R23" r:id="rId43" display="wlindel@smud.org"/>
    <hyperlink ref="R8" r:id="rId44" display="roberg@smud.org"/>
    <hyperlink ref="R9" r:id="rId45" display="roberg@smud.org"/>
    <hyperlink ref="L21" r:id="rId46" display="cnovak@smud.org"/>
    <hyperlink ref="R21" r:id="rId47" display="wlindel@smud.org"/>
  </hyperlinks>
  <printOptions/>
  <pageMargins left="0.5" right="0.5" top="0.54" bottom="1" header="0.5" footer="0.5"/>
  <pageSetup fitToHeight="4" fitToWidth="1" horizontalDpi="300" verticalDpi="300" orientation="landscape" scale="52" r:id="rId51"/>
  <headerFooter alignWithMargins="0">
    <oddHeader>&amp;CCALMAC Summary Study</oddHeader>
    <oddFooter>&amp;LGlobal Energy Partners, LLC&amp;C&amp;D&amp;RPage &amp;P of &amp;N</oddFooter>
  </headerFooter>
  <drawing r:id="rId50"/>
  <legacyDrawing r:id="rId49"/>
</worksheet>
</file>

<file path=xl/worksheets/sheet12.xml><?xml version="1.0" encoding="utf-8"?>
<worksheet xmlns="http://schemas.openxmlformats.org/spreadsheetml/2006/main" xmlns:r="http://schemas.openxmlformats.org/officeDocument/2006/relationships">
  <sheetPr>
    <pageSetUpPr fitToPage="1"/>
  </sheetPr>
  <dimension ref="A1:AD16"/>
  <sheetViews>
    <sheetView showGridLines="0" zoomScale="75" zoomScaleNormal="75" zoomScaleSheetLayoutView="75" workbookViewId="0" topLeftCell="A1">
      <pane xSplit="4" ySplit="5" topLeftCell="T6" activePane="bottomRight" state="frozen"/>
      <selection pane="topLeft" activeCell="D35" sqref="D35"/>
      <selection pane="topRight" activeCell="D35" sqref="D35"/>
      <selection pane="bottomLeft" activeCell="D35" sqref="D35"/>
      <selection pane="bottomRight" activeCell="AB6" sqref="AB6"/>
    </sheetView>
  </sheetViews>
  <sheetFormatPr defaultColWidth="9.140625" defaultRowHeight="12.75" outlineLevelRow="1" outlineLevelCol="1"/>
  <cols>
    <col min="1" max="1" width="9.140625" style="31" customWidth="1"/>
    <col min="2" max="3" width="17.7109375" style="31" customWidth="1"/>
    <col min="4" max="4" width="22.7109375" style="31" customWidth="1"/>
    <col min="5" max="9" width="3.7109375" style="31" customWidth="1"/>
    <col min="10" max="11" width="16.7109375" style="133" customWidth="1"/>
    <col min="12" max="14" width="14.28125" style="133" customWidth="1"/>
    <col min="15" max="15" width="11.00390625" style="133" customWidth="1"/>
    <col min="16" max="18" width="11.00390625" style="31" customWidth="1"/>
    <col min="19" max="19" width="9.421875" style="31" customWidth="1"/>
    <col min="20" max="20" width="8.8515625" style="31" customWidth="1"/>
    <col min="21" max="21" width="12.00390625" style="31" customWidth="1"/>
    <col min="22" max="24" width="23.00390625" style="31" hidden="1" customWidth="1" outlineLevel="1"/>
    <col min="25" max="25" width="10.7109375" style="445" customWidth="1" collapsed="1"/>
    <col min="26" max="27" width="10.7109375" style="226" customWidth="1"/>
    <col min="28" max="28" width="48.7109375" style="31" customWidth="1"/>
    <col min="29" max="16384" width="9.140625" style="31" customWidth="1"/>
  </cols>
  <sheetData>
    <row r="1" spans="2:16" ht="15.75">
      <c r="B1" s="122" t="s">
        <v>705</v>
      </c>
      <c r="P1" s="81"/>
    </row>
    <row r="2" spans="2:16" ht="15.75">
      <c r="B2" s="122" t="s">
        <v>670</v>
      </c>
      <c r="P2" s="81"/>
    </row>
    <row r="3" spans="5:9" ht="18" customHeight="1" thickBot="1">
      <c r="E3" s="83"/>
      <c r="F3" s="83"/>
      <c r="G3" s="83"/>
      <c r="H3" s="83"/>
      <c r="I3" s="83"/>
    </row>
    <row r="4" spans="2:30" ht="57.75" customHeight="1" thickBot="1">
      <c r="B4" s="124"/>
      <c r="C4" s="124"/>
      <c r="D4" s="125"/>
      <c r="E4" s="61" t="s">
        <v>33</v>
      </c>
      <c r="F4" s="62"/>
      <c r="G4" s="62"/>
      <c r="H4" s="62"/>
      <c r="I4" s="63"/>
      <c r="J4" s="64" t="s">
        <v>956</v>
      </c>
      <c r="K4" s="64"/>
      <c r="L4" s="64"/>
      <c r="M4" s="64" t="s">
        <v>1284</v>
      </c>
      <c r="N4" s="64"/>
      <c r="O4" s="64"/>
      <c r="P4" s="35" t="s">
        <v>1081</v>
      </c>
      <c r="Q4" s="35"/>
      <c r="R4" s="35"/>
      <c r="S4" s="35" t="s">
        <v>346</v>
      </c>
      <c r="T4" s="35"/>
      <c r="U4" s="35"/>
      <c r="V4" s="35" t="s">
        <v>1359</v>
      </c>
      <c r="W4" s="35"/>
      <c r="X4" s="35"/>
      <c r="Y4" s="446" t="s">
        <v>662</v>
      </c>
      <c r="Z4" s="447"/>
      <c r="AA4" s="447"/>
      <c r="AB4" s="657" t="s">
        <v>1307</v>
      </c>
      <c r="AC4" s="126"/>
      <c r="AD4" s="126"/>
    </row>
    <row r="5" spans="2:30" ht="34.5" thickBot="1">
      <c r="B5" s="127" t="s">
        <v>835</v>
      </c>
      <c r="C5" s="127" t="s">
        <v>834</v>
      </c>
      <c r="D5" s="127" t="s">
        <v>836</v>
      </c>
      <c r="E5" s="65" t="s">
        <v>28</v>
      </c>
      <c r="F5" s="66" t="s">
        <v>29</v>
      </c>
      <c r="G5" s="66" t="s">
        <v>30</v>
      </c>
      <c r="H5" s="66" t="s">
        <v>31</v>
      </c>
      <c r="I5" s="67" t="s">
        <v>668</v>
      </c>
      <c r="J5" s="215" t="s">
        <v>777</v>
      </c>
      <c r="K5" s="216" t="s">
        <v>778</v>
      </c>
      <c r="L5" s="217" t="s">
        <v>779</v>
      </c>
      <c r="M5" s="215" t="s">
        <v>777</v>
      </c>
      <c r="N5" s="216" t="s">
        <v>778</v>
      </c>
      <c r="O5" s="217" t="s">
        <v>779</v>
      </c>
      <c r="P5" s="218" t="s">
        <v>1266</v>
      </c>
      <c r="Q5" s="131" t="s">
        <v>1356</v>
      </c>
      <c r="R5" s="132" t="s">
        <v>1357</v>
      </c>
      <c r="S5" s="218" t="s">
        <v>1266</v>
      </c>
      <c r="T5" s="131" t="s">
        <v>1356</v>
      </c>
      <c r="U5" s="132" t="s">
        <v>1357</v>
      </c>
      <c r="V5" s="68" t="s">
        <v>1360</v>
      </c>
      <c r="W5" s="68" t="s">
        <v>1361</v>
      </c>
      <c r="X5" s="68" t="s">
        <v>1362</v>
      </c>
      <c r="Y5" s="491" t="s">
        <v>1358</v>
      </c>
      <c r="Z5" s="448" t="s">
        <v>650</v>
      </c>
      <c r="AA5" s="484" t="s">
        <v>517</v>
      </c>
      <c r="AB5" s="650"/>
      <c r="AC5" s="126"/>
      <c r="AD5" s="126"/>
    </row>
    <row r="6" spans="1:28" ht="51">
      <c r="A6" s="147" t="s">
        <v>129</v>
      </c>
      <c r="B6" s="398" t="s">
        <v>1363</v>
      </c>
      <c r="C6" s="69" t="s">
        <v>1080</v>
      </c>
      <c r="D6" s="69" t="s">
        <v>1364</v>
      </c>
      <c r="E6" s="69"/>
      <c r="F6" s="69"/>
      <c r="G6" s="69"/>
      <c r="H6" s="69"/>
      <c r="I6" s="70" t="s">
        <v>709</v>
      </c>
      <c r="J6" s="219" t="s">
        <v>982</v>
      </c>
      <c r="K6" s="219" t="s">
        <v>982</v>
      </c>
      <c r="L6" s="329">
        <v>40</v>
      </c>
      <c r="M6" s="200" t="s">
        <v>982</v>
      </c>
      <c r="N6" s="200" t="s">
        <v>982</v>
      </c>
      <c r="O6" s="333" t="s">
        <v>982</v>
      </c>
      <c r="P6" s="201" t="s">
        <v>982</v>
      </c>
      <c r="Q6" s="201" t="s">
        <v>982</v>
      </c>
      <c r="R6" s="201" t="s">
        <v>982</v>
      </c>
      <c r="S6" s="336">
        <v>96</v>
      </c>
      <c r="T6" s="201" t="s">
        <v>982</v>
      </c>
      <c r="U6" s="220">
        <v>2.3</v>
      </c>
      <c r="V6" s="70" t="s">
        <v>1365</v>
      </c>
      <c r="W6" s="70" t="s">
        <v>1366</v>
      </c>
      <c r="X6" s="70" t="s">
        <v>1365</v>
      </c>
      <c r="Y6" s="492" t="str">
        <f>IF(OR(S6="NA",S6=0,$O6="NA"),"NA",$O6/S6)</f>
        <v>NA</v>
      </c>
      <c r="Z6" s="485" t="str">
        <f>IF(OR(T6="NA",T6=0,$O6="NA"),"NA",$O6/T6)</f>
        <v>NA</v>
      </c>
      <c r="AA6" s="485" t="str">
        <f>IF(OR(U6="NA",U6=0,$O6="NA"),"NA",$O6/U6)</f>
        <v>NA</v>
      </c>
      <c r="AB6" s="70" t="s">
        <v>520</v>
      </c>
    </row>
    <row r="7" spans="1:28" ht="51">
      <c r="A7" s="147" t="s">
        <v>130</v>
      </c>
      <c r="B7" s="380" t="s">
        <v>704</v>
      </c>
      <c r="C7" s="32" t="s">
        <v>1080</v>
      </c>
      <c r="D7" s="32" t="s">
        <v>780</v>
      </c>
      <c r="E7" s="32"/>
      <c r="F7" s="32"/>
      <c r="G7" s="32"/>
      <c r="H7" s="32"/>
      <c r="I7" s="205" t="s">
        <v>781</v>
      </c>
      <c r="J7" s="214" t="s">
        <v>982</v>
      </c>
      <c r="K7" s="214" t="s">
        <v>982</v>
      </c>
      <c r="L7" s="330">
        <v>12</v>
      </c>
      <c r="M7" s="206" t="s">
        <v>982</v>
      </c>
      <c r="N7" s="206" t="s">
        <v>982</v>
      </c>
      <c r="O7" s="334" t="s">
        <v>982</v>
      </c>
      <c r="P7" s="221" t="s">
        <v>982</v>
      </c>
      <c r="Q7" s="221" t="s">
        <v>982</v>
      </c>
      <c r="R7" s="221" t="s">
        <v>982</v>
      </c>
      <c r="S7" s="337" t="s">
        <v>982</v>
      </c>
      <c r="T7" s="222" t="s">
        <v>982</v>
      </c>
      <c r="U7" s="222" t="s">
        <v>982</v>
      </c>
      <c r="V7" s="205" t="s">
        <v>782</v>
      </c>
      <c r="W7" s="205" t="s">
        <v>783</v>
      </c>
      <c r="X7" s="205"/>
      <c r="Y7" s="493" t="str">
        <f aca="true" t="shared" si="0" ref="Y7:Y15">IF(OR(S7="NA",S7=0,$O7="NA"),"NA",$O7/S7)</f>
        <v>NA</v>
      </c>
      <c r="Z7" s="489" t="str">
        <f aca="true" t="shared" si="1" ref="Z7:Z15">IF(OR(T7="NA",T7=0,$O7="NA"),"NA",$O7/T7)</f>
        <v>NA</v>
      </c>
      <c r="AA7" s="486" t="str">
        <f aca="true" t="shared" si="2" ref="AA7:AA15">IF(OR(U7="NA",U7=0,$O7="NA"),"NA",$O7/U7)</f>
        <v>NA</v>
      </c>
      <c r="AB7" s="205"/>
    </row>
    <row r="8" spans="1:28" ht="25.5">
      <c r="A8" s="147" t="s">
        <v>131</v>
      </c>
      <c r="B8" s="380" t="s">
        <v>1204</v>
      </c>
      <c r="C8" s="32" t="s">
        <v>1080</v>
      </c>
      <c r="D8" s="32" t="s">
        <v>1205</v>
      </c>
      <c r="E8" s="32"/>
      <c r="F8" s="32"/>
      <c r="G8" s="32"/>
      <c r="H8" s="32"/>
      <c r="I8" s="205" t="s">
        <v>709</v>
      </c>
      <c r="J8" s="214" t="s">
        <v>982</v>
      </c>
      <c r="K8" s="214" t="s">
        <v>982</v>
      </c>
      <c r="L8" s="330">
        <v>40</v>
      </c>
      <c r="M8" s="206" t="s">
        <v>982</v>
      </c>
      <c r="N8" s="206" t="s">
        <v>982</v>
      </c>
      <c r="O8" s="334" t="s">
        <v>982</v>
      </c>
      <c r="P8" s="221" t="s">
        <v>982</v>
      </c>
      <c r="Q8" s="221" t="s">
        <v>982</v>
      </c>
      <c r="R8" s="221" t="s">
        <v>982</v>
      </c>
      <c r="S8" s="337">
        <v>352.64</v>
      </c>
      <c r="T8" s="222" t="s">
        <v>982</v>
      </c>
      <c r="U8" s="222" t="s">
        <v>982</v>
      </c>
      <c r="V8" s="205" t="s">
        <v>782</v>
      </c>
      <c r="W8" s="205" t="s">
        <v>1206</v>
      </c>
      <c r="X8" s="205"/>
      <c r="Y8" s="493" t="str">
        <f t="shared" si="0"/>
        <v>NA</v>
      </c>
      <c r="Z8" s="489" t="str">
        <f t="shared" si="1"/>
        <v>NA</v>
      </c>
      <c r="AA8" s="486" t="str">
        <f t="shared" si="2"/>
        <v>NA</v>
      </c>
      <c r="AB8" s="205" t="s">
        <v>521</v>
      </c>
    </row>
    <row r="9" spans="1:28" ht="25.5">
      <c r="A9" s="147" t="s">
        <v>132</v>
      </c>
      <c r="B9" s="380" t="s">
        <v>683</v>
      </c>
      <c r="C9" s="32" t="s">
        <v>1080</v>
      </c>
      <c r="D9" s="32" t="s">
        <v>684</v>
      </c>
      <c r="E9" s="32"/>
      <c r="F9" s="32"/>
      <c r="G9" s="32"/>
      <c r="H9" s="32"/>
      <c r="I9" s="205" t="s">
        <v>709</v>
      </c>
      <c r="J9" s="214" t="s">
        <v>982</v>
      </c>
      <c r="K9" s="214" t="s">
        <v>982</v>
      </c>
      <c r="L9" s="330">
        <v>4</v>
      </c>
      <c r="M9" s="206" t="s">
        <v>982</v>
      </c>
      <c r="N9" s="206" t="s">
        <v>982</v>
      </c>
      <c r="O9" s="334">
        <v>2.5</v>
      </c>
      <c r="P9" s="221" t="s">
        <v>982</v>
      </c>
      <c r="Q9" s="221" t="s">
        <v>982</v>
      </c>
      <c r="R9" s="221" t="s">
        <v>982</v>
      </c>
      <c r="S9" s="337">
        <f>258/1000</f>
        <v>0.258</v>
      </c>
      <c r="T9" s="221" t="s">
        <v>982</v>
      </c>
      <c r="U9" s="223" t="s">
        <v>982</v>
      </c>
      <c r="V9" s="205" t="s">
        <v>685</v>
      </c>
      <c r="W9" s="205" t="s">
        <v>686</v>
      </c>
      <c r="X9" s="205" t="s">
        <v>686</v>
      </c>
      <c r="Y9" s="493">
        <f t="shared" si="0"/>
        <v>9.689922480620154</v>
      </c>
      <c r="Z9" s="489" t="str">
        <f t="shared" si="1"/>
        <v>NA</v>
      </c>
      <c r="AA9" s="486" t="str">
        <f t="shared" si="2"/>
        <v>NA</v>
      </c>
      <c r="AB9" s="205" t="s">
        <v>925</v>
      </c>
    </row>
    <row r="10" spans="2:28" ht="12.75">
      <c r="B10" s="301" t="s">
        <v>666</v>
      </c>
      <c r="C10" s="301" t="s">
        <v>1080</v>
      </c>
      <c r="D10" s="301"/>
      <c r="E10" s="301"/>
      <c r="F10" s="301"/>
      <c r="G10" s="301"/>
      <c r="H10" s="301"/>
      <c r="I10" s="323"/>
      <c r="J10" s="324"/>
      <c r="K10" s="324"/>
      <c r="L10" s="331">
        <f>SUM(L6:L9)</f>
        <v>96</v>
      </c>
      <c r="M10" s="326"/>
      <c r="N10" s="326"/>
      <c r="O10" s="335">
        <f>SUM(O6:O9)</f>
        <v>2.5</v>
      </c>
      <c r="P10" s="327"/>
      <c r="Q10" s="327"/>
      <c r="R10" s="327"/>
      <c r="S10" s="325">
        <f>SUM(S6:S9)</f>
        <v>448.89799999999997</v>
      </c>
      <c r="T10" s="327">
        <f>SUM(T6:T9)</f>
        <v>0</v>
      </c>
      <c r="U10" s="328"/>
      <c r="V10" s="323"/>
      <c r="W10" s="323"/>
      <c r="X10" s="323"/>
      <c r="Y10" s="494">
        <f t="shared" si="0"/>
        <v>0.00556919389259921</v>
      </c>
      <c r="Z10" s="490" t="str">
        <f t="shared" si="1"/>
        <v>NA</v>
      </c>
      <c r="AA10" s="487" t="str">
        <f t="shared" si="2"/>
        <v>NA</v>
      </c>
      <c r="AB10" s="323"/>
    </row>
    <row r="11" spans="1:28" ht="63.75">
      <c r="A11" s="147" t="s">
        <v>133</v>
      </c>
      <c r="B11" s="32" t="s">
        <v>784</v>
      </c>
      <c r="C11" s="32" t="s">
        <v>816</v>
      </c>
      <c r="D11" s="32" t="s">
        <v>785</v>
      </c>
      <c r="E11" s="32"/>
      <c r="F11" s="32"/>
      <c r="G11" s="32"/>
      <c r="H11" s="32"/>
      <c r="I11" s="205" t="s">
        <v>781</v>
      </c>
      <c r="J11" s="214" t="s">
        <v>982</v>
      </c>
      <c r="K11" s="214" t="s">
        <v>982</v>
      </c>
      <c r="L11" s="330">
        <v>20</v>
      </c>
      <c r="M11" s="206" t="s">
        <v>982</v>
      </c>
      <c r="N11" s="206" t="s">
        <v>982</v>
      </c>
      <c r="O11" s="334" t="s">
        <v>982</v>
      </c>
      <c r="P11" s="221" t="s">
        <v>982</v>
      </c>
      <c r="Q11" s="221" t="s">
        <v>982</v>
      </c>
      <c r="R11" s="221" t="s">
        <v>982</v>
      </c>
      <c r="S11" s="337" t="s">
        <v>982</v>
      </c>
      <c r="T11" s="222" t="s">
        <v>982</v>
      </c>
      <c r="U11" s="222" t="s">
        <v>982</v>
      </c>
      <c r="V11" s="205" t="s">
        <v>782</v>
      </c>
      <c r="W11" s="205" t="s">
        <v>786</v>
      </c>
      <c r="X11" s="205"/>
      <c r="Y11" s="493" t="str">
        <f t="shared" si="0"/>
        <v>NA</v>
      </c>
      <c r="Z11" s="489" t="str">
        <f t="shared" si="1"/>
        <v>NA</v>
      </c>
      <c r="AA11" s="486" t="str">
        <f t="shared" si="2"/>
        <v>NA</v>
      </c>
      <c r="AB11" s="205"/>
    </row>
    <row r="12" spans="1:28" ht="76.5">
      <c r="A12" s="147" t="s">
        <v>134</v>
      </c>
      <c r="B12" s="32" t="s">
        <v>1154</v>
      </c>
      <c r="C12" s="32" t="s">
        <v>1156</v>
      </c>
      <c r="D12" s="32" t="s">
        <v>1199</v>
      </c>
      <c r="E12" s="32" t="s">
        <v>969</v>
      </c>
      <c r="F12" s="32"/>
      <c r="G12" s="32"/>
      <c r="H12" s="32"/>
      <c r="I12" s="205" t="s">
        <v>709</v>
      </c>
      <c r="J12" s="214" t="s">
        <v>982</v>
      </c>
      <c r="K12" s="214" t="s">
        <v>982</v>
      </c>
      <c r="L12" s="330">
        <v>42.3</v>
      </c>
      <c r="M12" s="206" t="s">
        <v>982</v>
      </c>
      <c r="N12" s="206" t="s">
        <v>982</v>
      </c>
      <c r="O12" s="334">
        <v>42.3</v>
      </c>
      <c r="P12" s="221" t="s">
        <v>982</v>
      </c>
      <c r="Q12" s="221" t="s">
        <v>982</v>
      </c>
      <c r="R12" s="221" t="s">
        <v>982</v>
      </c>
      <c r="S12" s="338" t="s">
        <v>982</v>
      </c>
      <c r="T12" s="222" t="s">
        <v>982</v>
      </c>
      <c r="U12" s="223">
        <f>(3815+1000+800)/1000</f>
        <v>5.615</v>
      </c>
      <c r="V12" s="205" t="s">
        <v>782</v>
      </c>
      <c r="W12" s="205" t="s">
        <v>783</v>
      </c>
      <c r="X12" s="205" t="s">
        <v>1200</v>
      </c>
      <c r="Y12" s="493" t="str">
        <f t="shared" si="0"/>
        <v>NA</v>
      </c>
      <c r="Z12" s="489" t="str">
        <f t="shared" si="1"/>
        <v>NA</v>
      </c>
      <c r="AA12" s="486">
        <f t="shared" si="2"/>
        <v>7.533392698130008</v>
      </c>
      <c r="AB12" s="205" t="s">
        <v>522</v>
      </c>
    </row>
    <row r="13" spans="2:28" ht="12.75">
      <c r="B13" s="301" t="s">
        <v>666</v>
      </c>
      <c r="C13" s="301" t="s">
        <v>816</v>
      </c>
      <c r="D13" s="301"/>
      <c r="E13" s="301"/>
      <c r="F13" s="301"/>
      <c r="G13" s="301"/>
      <c r="H13" s="301"/>
      <c r="I13" s="323"/>
      <c r="J13" s="324"/>
      <c r="K13" s="324"/>
      <c r="L13" s="331">
        <f>SUM(L11:L12)</f>
        <v>62.3</v>
      </c>
      <c r="M13" s="326"/>
      <c r="N13" s="326"/>
      <c r="O13" s="335">
        <f>SUM(O11:O12)</f>
        <v>42.3</v>
      </c>
      <c r="P13" s="327"/>
      <c r="Q13" s="327"/>
      <c r="R13" s="327"/>
      <c r="S13" s="325">
        <f>SUM(S11:S12)</f>
        <v>0</v>
      </c>
      <c r="T13" s="327">
        <f>SUM(T11:T12)</f>
        <v>0</v>
      </c>
      <c r="U13" s="328"/>
      <c r="V13" s="323"/>
      <c r="W13" s="323"/>
      <c r="X13" s="323"/>
      <c r="Y13" s="494" t="str">
        <f t="shared" si="0"/>
        <v>NA</v>
      </c>
      <c r="Z13" s="490" t="str">
        <f t="shared" si="1"/>
        <v>NA</v>
      </c>
      <c r="AA13" s="487" t="str">
        <f t="shared" si="2"/>
        <v>NA</v>
      </c>
      <c r="AB13" s="323"/>
    </row>
    <row r="14" spans="1:28" ht="38.25">
      <c r="A14" s="147" t="s">
        <v>135</v>
      </c>
      <c r="B14" s="32" t="s">
        <v>787</v>
      </c>
      <c r="C14" s="32" t="s">
        <v>671</v>
      </c>
      <c r="D14" s="32" t="s">
        <v>788</v>
      </c>
      <c r="E14" s="32" t="s">
        <v>969</v>
      </c>
      <c r="F14" s="32"/>
      <c r="G14" s="32"/>
      <c r="H14" s="32"/>
      <c r="I14" s="205" t="s">
        <v>709</v>
      </c>
      <c r="J14" s="214" t="s">
        <v>982</v>
      </c>
      <c r="K14" s="214" t="s">
        <v>982</v>
      </c>
      <c r="L14" s="330">
        <v>70</v>
      </c>
      <c r="M14" s="206" t="s">
        <v>982</v>
      </c>
      <c r="N14" s="206" t="s">
        <v>982</v>
      </c>
      <c r="O14" s="334" t="s">
        <v>982</v>
      </c>
      <c r="P14" s="221" t="s">
        <v>982</v>
      </c>
      <c r="Q14" s="221" t="s">
        <v>982</v>
      </c>
      <c r="R14" s="221" t="s">
        <v>982</v>
      </c>
      <c r="S14" s="337" t="s">
        <v>982</v>
      </c>
      <c r="T14" s="222" t="s">
        <v>982</v>
      </c>
      <c r="U14" s="222" t="s">
        <v>982</v>
      </c>
      <c r="V14" s="205" t="s">
        <v>782</v>
      </c>
      <c r="W14" s="205" t="s">
        <v>789</v>
      </c>
      <c r="X14" s="205"/>
      <c r="Y14" s="493" t="str">
        <f t="shared" si="0"/>
        <v>NA</v>
      </c>
      <c r="Z14" s="489" t="str">
        <f t="shared" si="1"/>
        <v>NA</v>
      </c>
      <c r="AA14" s="486" t="str">
        <f t="shared" si="2"/>
        <v>NA</v>
      </c>
      <c r="AB14" s="205" t="s">
        <v>1151</v>
      </c>
    </row>
    <row r="15" spans="2:28" ht="12.75">
      <c r="B15" s="301" t="s">
        <v>651</v>
      </c>
      <c r="C15" s="301" t="s">
        <v>669</v>
      </c>
      <c r="D15" s="301"/>
      <c r="E15" s="301"/>
      <c r="F15" s="301"/>
      <c r="G15" s="301"/>
      <c r="H15" s="301"/>
      <c r="I15" s="323"/>
      <c r="J15" s="324"/>
      <c r="K15" s="324"/>
      <c r="L15" s="331">
        <f>L14+L13+L10</f>
        <v>228.3</v>
      </c>
      <c r="M15" s="326"/>
      <c r="N15" s="326"/>
      <c r="O15" s="331">
        <f>O13+O10</f>
        <v>44.8</v>
      </c>
      <c r="P15" s="327"/>
      <c r="Q15" s="327"/>
      <c r="R15" s="327"/>
      <c r="S15" s="325">
        <f>S13+S10</f>
        <v>448.89799999999997</v>
      </c>
      <c r="T15" s="332">
        <f>T13+T10</f>
        <v>0</v>
      </c>
      <c r="U15" s="332">
        <f>U13+U10</f>
        <v>0</v>
      </c>
      <c r="V15" s="323"/>
      <c r="W15" s="323"/>
      <c r="X15" s="323"/>
      <c r="Y15" s="494">
        <f t="shared" si="0"/>
        <v>0.09979995455537784</v>
      </c>
      <c r="Z15" s="490" t="str">
        <f t="shared" si="1"/>
        <v>NA</v>
      </c>
      <c r="AA15" s="487" t="str">
        <f t="shared" si="2"/>
        <v>NA</v>
      </c>
      <c r="AB15" s="323"/>
    </row>
    <row r="16" spans="1:28" ht="25.5" hidden="1" outlineLevel="1">
      <c r="A16" s="31" t="s">
        <v>523</v>
      </c>
      <c r="B16" s="207" t="s">
        <v>1201</v>
      </c>
      <c r="C16" s="207" t="s">
        <v>1155</v>
      </c>
      <c r="D16" s="207"/>
      <c r="E16" s="207"/>
      <c r="F16" s="207" t="s">
        <v>969</v>
      </c>
      <c r="G16" s="207"/>
      <c r="H16" s="207"/>
      <c r="I16" s="208"/>
      <c r="J16" s="208"/>
      <c r="K16" s="208"/>
      <c r="L16" s="209">
        <v>1950</v>
      </c>
      <c r="M16" s="209"/>
      <c r="N16" s="209"/>
      <c r="O16" s="210"/>
      <c r="P16" s="211"/>
      <c r="Q16" s="211"/>
      <c r="R16" s="211"/>
      <c r="S16" s="212">
        <v>0</v>
      </c>
      <c r="T16" s="207">
        <v>0</v>
      </c>
      <c r="U16" s="208">
        <v>0</v>
      </c>
      <c r="V16" s="208" t="s">
        <v>687</v>
      </c>
      <c r="W16" s="208" t="s">
        <v>1202</v>
      </c>
      <c r="X16" s="208" t="s">
        <v>1203</v>
      </c>
      <c r="Y16" s="495"/>
      <c r="Z16" s="488"/>
      <c r="AA16" s="488"/>
      <c r="AB16" s="213" t="s">
        <v>1153</v>
      </c>
    </row>
    <row r="17" ht="12.75" collapsed="1"/>
  </sheetData>
  <sheetProtection password="DE47" sheet="1" objects="1" scenarios="1"/>
  <mergeCells count="1">
    <mergeCell ref="AB4:AB5"/>
  </mergeCells>
  <printOptions/>
  <pageMargins left="0.5" right="0.5" top="0.54" bottom="1" header="0.5" footer="0.5"/>
  <pageSetup fitToHeight="4" fitToWidth="1" horizontalDpi="600" verticalDpi="600" orientation="landscape" scale="42" r:id="rId3"/>
  <headerFooter alignWithMargins="0">
    <oddHeader>&amp;CCALMAC Summary Study</oddHeader>
    <oddFooter>&amp;LGlobal Energy Partners, LLC&amp;C&amp;D&amp;RPage &amp;P of &amp;N</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D9"/>
  <sheetViews>
    <sheetView showGridLines="0" zoomScale="50" zoomScaleNormal="50" zoomScaleSheetLayoutView="50" workbookViewId="0" topLeftCell="M1">
      <pane ySplit="5" topLeftCell="BM6" activePane="bottomLeft" state="frozen"/>
      <selection pane="topLeft" activeCell="D35" sqref="D35"/>
      <selection pane="bottomLeft" activeCell="AA7" sqref="AA7"/>
    </sheetView>
  </sheetViews>
  <sheetFormatPr defaultColWidth="9.140625" defaultRowHeight="12.75" outlineLevelCol="1"/>
  <cols>
    <col min="1" max="1" width="9.140625" style="31" customWidth="1"/>
    <col min="2" max="3" width="17.7109375" style="31" customWidth="1"/>
    <col min="4" max="4" width="30.28125" style="31" customWidth="1"/>
    <col min="5" max="9" width="3.7109375" style="31" customWidth="1"/>
    <col min="10" max="11" width="14.28125" style="123" customWidth="1"/>
    <col min="12" max="12" width="14.28125" style="355" customWidth="1"/>
    <col min="13" max="14" width="14.28125" style="123" customWidth="1"/>
    <col min="15" max="15" width="11.00390625" style="355" customWidth="1"/>
    <col min="16" max="18" width="11.00390625" style="31" customWidth="1"/>
    <col min="19" max="19" width="9.421875" style="355" customWidth="1"/>
    <col min="20" max="20" width="8.8515625" style="31" customWidth="1"/>
    <col min="21" max="21" width="12.00390625" style="31" customWidth="1"/>
    <col min="22" max="24" width="23.00390625" style="31" hidden="1" customWidth="1" outlineLevel="1"/>
    <col min="25" max="25" width="10.7109375" style="503" customWidth="1" collapsed="1"/>
    <col min="26" max="26" width="10.7109375" style="355" customWidth="1"/>
    <col min="27" max="27" width="10.7109375" style="82" customWidth="1"/>
    <col min="28" max="28" width="48.7109375" style="31" customWidth="1"/>
    <col min="29" max="16384" width="9.140625" style="31" customWidth="1"/>
  </cols>
  <sheetData>
    <row r="1" spans="2:3" ht="15.75">
      <c r="B1" s="122" t="s">
        <v>137</v>
      </c>
      <c r="C1" s="122"/>
    </row>
    <row r="2" ht="15.75">
      <c r="B2" s="122" t="s">
        <v>136</v>
      </c>
    </row>
    <row r="3" ht="18" customHeight="1" thickBot="1"/>
    <row r="4" spans="2:30" ht="57.75" customHeight="1" thickBot="1">
      <c r="B4" s="124"/>
      <c r="C4" s="124"/>
      <c r="D4" s="125"/>
      <c r="E4" s="61" t="s">
        <v>33</v>
      </c>
      <c r="F4" s="62"/>
      <c r="G4" s="62"/>
      <c r="H4" s="62"/>
      <c r="I4" s="63"/>
      <c r="J4" s="36" t="s">
        <v>956</v>
      </c>
      <c r="K4" s="36"/>
      <c r="L4" s="356"/>
      <c r="M4" s="36" t="s">
        <v>1284</v>
      </c>
      <c r="N4" s="36"/>
      <c r="O4" s="356"/>
      <c r="P4" s="35" t="s">
        <v>1081</v>
      </c>
      <c r="Q4" s="35"/>
      <c r="R4" s="35"/>
      <c r="S4" s="360" t="s">
        <v>346</v>
      </c>
      <c r="T4" s="35"/>
      <c r="U4" s="35"/>
      <c r="V4" s="35" t="s">
        <v>1359</v>
      </c>
      <c r="W4" s="35"/>
      <c r="X4" s="35"/>
      <c r="Y4" s="504" t="s">
        <v>662</v>
      </c>
      <c r="Z4" s="360"/>
      <c r="AA4" s="55"/>
      <c r="AB4" s="657" t="s">
        <v>1307</v>
      </c>
      <c r="AC4" s="126"/>
      <c r="AD4" s="126"/>
    </row>
    <row r="5" spans="2:30" ht="34.5" thickBot="1">
      <c r="B5" s="127" t="s">
        <v>835</v>
      </c>
      <c r="C5" s="127" t="s">
        <v>834</v>
      </c>
      <c r="D5" s="127" t="s">
        <v>836</v>
      </c>
      <c r="E5" s="65" t="s">
        <v>28</v>
      </c>
      <c r="F5" s="66" t="s">
        <v>29</v>
      </c>
      <c r="G5" s="66" t="s">
        <v>30</v>
      </c>
      <c r="H5" s="66" t="s">
        <v>31</v>
      </c>
      <c r="I5" s="67" t="s">
        <v>668</v>
      </c>
      <c r="J5" s="128" t="s">
        <v>777</v>
      </c>
      <c r="K5" s="129" t="s">
        <v>778</v>
      </c>
      <c r="L5" s="498" t="s">
        <v>779</v>
      </c>
      <c r="M5" s="128" t="s">
        <v>777</v>
      </c>
      <c r="N5" s="129" t="s">
        <v>778</v>
      </c>
      <c r="O5" s="498" t="s">
        <v>779</v>
      </c>
      <c r="P5" s="128" t="s">
        <v>1266</v>
      </c>
      <c r="Q5" s="129" t="s">
        <v>1356</v>
      </c>
      <c r="R5" s="130" t="s">
        <v>1357</v>
      </c>
      <c r="S5" s="605" t="s">
        <v>1266</v>
      </c>
      <c r="T5" s="131" t="s">
        <v>1356</v>
      </c>
      <c r="U5" s="132" t="s">
        <v>1357</v>
      </c>
      <c r="V5" s="68" t="s">
        <v>1360</v>
      </c>
      <c r="W5" s="68" t="s">
        <v>1361</v>
      </c>
      <c r="X5" s="68" t="s">
        <v>1362</v>
      </c>
      <c r="Y5" s="505" t="s">
        <v>1358</v>
      </c>
      <c r="Z5" s="600" t="s">
        <v>650</v>
      </c>
      <c r="AA5" s="497" t="s">
        <v>517</v>
      </c>
      <c r="AB5" s="650"/>
      <c r="AC5" s="126"/>
      <c r="AD5" s="126"/>
    </row>
    <row r="6" spans="1:28" ht="127.5">
      <c r="A6" s="147" t="s">
        <v>138</v>
      </c>
      <c r="B6" s="398" t="s">
        <v>478</v>
      </c>
      <c r="C6" s="69" t="s">
        <v>1137</v>
      </c>
      <c r="D6" s="69" t="s">
        <v>1150</v>
      </c>
      <c r="E6" s="69"/>
      <c r="F6" s="69"/>
      <c r="G6" s="69"/>
      <c r="H6" s="69"/>
      <c r="I6" s="70" t="s">
        <v>708</v>
      </c>
      <c r="J6" s="201" t="s">
        <v>982</v>
      </c>
      <c r="K6" s="201" t="s">
        <v>982</v>
      </c>
      <c r="L6" s="499">
        <v>15000</v>
      </c>
      <c r="M6" s="201" t="s">
        <v>982</v>
      </c>
      <c r="N6" s="201" t="s">
        <v>982</v>
      </c>
      <c r="O6" s="499">
        <v>5000</v>
      </c>
      <c r="P6" s="201">
        <v>0</v>
      </c>
      <c r="Q6" s="201">
        <v>0</v>
      </c>
      <c r="R6" s="201">
        <v>0</v>
      </c>
      <c r="S6" s="499">
        <v>0</v>
      </c>
      <c r="T6" s="201">
        <v>0</v>
      </c>
      <c r="U6" s="203">
        <v>0</v>
      </c>
      <c r="V6" s="70" t="s">
        <v>1148</v>
      </c>
      <c r="W6" s="70"/>
      <c r="X6" s="70"/>
      <c r="Y6" s="506" t="str">
        <f aca="true" t="shared" si="0" ref="Y6:AA9">IF(OR(S8="NA",S8=0,$O8="NA"),"NA",$O8/S8)</f>
        <v>NA</v>
      </c>
      <c r="Z6" s="606" t="str">
        <f t="shared" si="0"/>
        <v>NA</v>
      </c>
      <c r="AA6" s="220" t="str">
        <f t="shared" si="0"/>
        <v>NA</v>
      </c>
      <c r="AB6" s="70" t="s">
        <v>1149</v>
      </c>
    </row>
    <row r="7" spans="1:28" ht="191.25">
      <c r="A7" s="399" t="s">
        <v>139</v>
      </c>
      <c r="B7" s="33" t="s">
        <v>966</v>
      </c>
      <c r="C7" s="33" t="s">
        <v>706</v>
      </c>
      <c r="D7" s="33" t="s">
        <v>1239</v>
      </c>
      <c r="E7" s="33"/>
      <c r="F7" s="33" t="s">
        <v>969</v>
      </c>
      <c r="G7" s="33"/>
      <c r="H7" s="33"/>
      <c r="I7" s="22"/>
      <c r="J7" s="202" t="s">
        <v>982</v>
      </c>
      <c r="K7" s="202" t="s">
        <v>982</v>
      </c>
      <c r="L7" s="500">
        <v>7800</v>
      </c>
      <c r="M7" s="202" t="s">
        <v>982</v>
      </c>
      <c r="N7" s="202" t="s">
        <v>982</v>
      </c>
      <c r="O7" s="500">
        <v>150</v>
      </c>
      <c r="P7" s="202" t="s">
        <v>982</v>
      </c>
      <c r="Q7" s="202">
        <v>6</v>
      </c>
      <c r="R7" s="202">
        <v>0</v>
      </c>
      <c r="S7" s="500">
        <v>214</v>
      </c>
      <c r="T7" s="202">
        <f>47*(1.37/1000)</f>
        <v>0.06439</v>
      </c>
      <c r="U7" s="204">
        <v>0</v>
      </c>
      <c r="V7" s="22" t="s">
        <v>319</v>
      </c>
      <c r="W7" s="22" t="s">
        <v>320</v>
      </c>
      <c r="X7" s="22" t="s">
        <v>1258</v>
      </c>
      <c r="Y7" s="507">
        <f t="shared" si="0"/>
        <v>25.233644859813083</v>
      </c>
      <c r="Z7" s="607">
        <f t="shared" si="0"/>
        <v>83863.9540301289</v>
      </c>
      <c r="AA7" s="502" t="str">
        <f t="shared" si="0"/>
        <v>NA</v>
      </c>
      <c r="AB7" s="22" t="s">
        <v>926</v>
      </c>
    </row>
    <row r="8" spans="1:28" ht="114.75">
      <c r="A8" s="399" t="s">
        <v>140</v>
      </c>
      <c r="B8" s="59" t="s">
        <v>1265</v>
      </c>
      <c r="C8" s="59" t="s">
        <v>707</v>
      </c>
      <c r="D8" s="59" t="s">
        <v>1259</v>
      </c>
      <c r="E8" s="59"/>
      <c r="F8" s="59"/>
      <c r="G8" s="59"/>
      <c r="H8" s="59"/>
      <c r="I8" s="400" t="s">
        <v>709</v>
      </c>
      <c r="J8" s="401" t="s">
        <v>982</v>
      </c>
      <c r="K8" s="401" t="s">
        <v>982</v>
      </c>
      <c r="L8" s="501">
        <v>250</v>
      </c>
      <c r="M8" s="202" t="s">
        <v>982</v>
      </c>
      <c r="N8" s="202" t="s">
        <v>982</v>
      </c>
      <c r="O8" s="501">
        <v>250</v>
      </c>
      <c r="P8" s="401" t="s">
        <v>982</v>
      </c>
      <c r="Q8" s="401" t="s">
        <v>982</v>
      </c>
      <c r="R8" s="401" t="s">
        <v>982</v>
      </c>
      <c r="S8" s="501" t="s">
        <v>982</v>
      </c>
      <c r="T8" s="401" t="s">
        <v>982</v>
      </c>
      <c r="U8" s="401" t="s">
        <v>982</v>
      </c>
      <c r="V8" s="400" t="s">
        <v>712</v>
      </c>
      <c r="W8" s="400" t="s">
        <v>1260</v>
      </c>
      <c r="X8" s="400" t="s">
        <v>1260</v>
      </c>
      <c r="Y8" s="508" t="str">
        <f t="shared" si="0"/>
        <v>NA</v>
      </c>
      <c r="Z8" s="608" t="str">
        <f t="shared" si="0"/>
        <v>NA</v>
      </c>
      <c r="AA8" s="223" t="str">
        <f t="shared" si="0"/>
        <v>NA</v>
      </c>
      <c r="AB8" s="400" t="s">
        <v>1318</v>
      </c>
    </row>
    <row r="9" spans="2:28" ht="12.75">
      <c r="B9" s="271" t="s">
        <v>651</v>
      </c>
      <c r="C9" s="349"/>
      <c r="D9" s="349"/>
      <c r="E9" s="349"/>
      <c r="F9" s="349"/>
      <c r="G9" s="349"/>
      <c r="H9" s="349"/>
      <c r="I9" s="349"/>
      <c r="J9" s="496">
        <f>SUM(J6:J8)</f>
        <v>0</v>
      </c>
      <c r="K9" s="496">
        <f aca="true" t="shared" si="1" ref="K9:U9">SUM(K6:K8)</f>
        <v>0</v>
      </c>
      <c r="L9" s="270">
        <f t="shared" si="1"/>
        <v>23050</v>
      </c>
      <c r="M9" s="496">
        <f t="shared" si="1"/>
        <v>0</v>
      </c>
      <c r="N9" s="496">
        <f t="shared" si="1"/>
        <v>0</v>
      </c>
      <c r="O9" s="270">
        <f t="shared" si="1"/>
        <v>5400</v>
      </c>
      <c r="P9" s="496">
        <f t="shared" si="1"/>
        <v>0</v>
      </c>
      <c r="Q9" s="496">
        <f t="shared" si="1"/>
        <v>6</v>
      </c>
      <c r="R9" s="496">
        <f t="shared" si="1"/>
        <v>0</v>
      </c>
      <c r="S9" s="270">
        <f t="shared" si="1"/>
        <v>214</v>
      </c>
      <c r="T9" s="496">
        <f t="shared" si="1"/>
        <v>0.06439</v>
      </c>
      <c r="U9" s="496">
        <f t="shared" si="1"/>
        <v>0</v>
      </c>
      <c r="V9" s="271"/>
      <c r="W9" s="271"/>
      <c r="X9" s="271"/>
      <c r="Y9" s="509" t="str">
        <f t="shared" si="0"/>
        <v>NA</v>
      </c>
      <c r="Z9" s="270" t="str">
        <f t="shared" si="0"/>
        <v>NA</v>
      </c>
      <c r="AA9" s="272" t="str">
        <f t="shared" si="0"/>
        <v>NA</v>
      </c>
      <c r="AB9" s="271"/>
    </row>
  </sheetData>
  <sheetProtection password="DE47" sheet="1" objects="1" scenarios="1"/>
  <mergeCells count="1">
    <mergeCell ref="AB4:AB5"/>
  </mergeCells>
  <printOptions/>
  <pageMargins left="0.5" right="0.5" top="0.54" bottom="1" header="0.5" footer="0.5"/>
  <pageSetup fitToHeight="4" fitToWidth="1" horizontalDpi="600" verticalDpi="600" orientation="landscape" scale="40" r:id="rId3"/>
  <headerFooter alignWithMargins="0">
    <oddHeader>&amp;CCALMAC Summary Study</oddHeader>
    <oddFooter>&amp;LGlobal Energy Partners, LLC&amp;C&amp;D&amp;RPage &amp;P of &amp;N</oddFooter>
  </headerFooter>
  <legacyDrawing r:id="rId2"/>
</worksheet>
</file>

<file path=xl/worksheets/sheet14.xml><?xml version="1.0" encoding="utf-8"?>
<worksheet xmlns="http://schemas.openxmlformats.org/spreadsheetml/2006/main" xmlns:r="http://schemas.openxmlformats.org/officeDocument/2006/relationships">
  <sheetPr codeName="Sheet8">
    <pageSetUpPr fitToPage="1"/>
  </sheetPr>
  <dimension ref="A1:AR10"/>
  <sheetViews>
    <sheetView showGridLines="0" zoomScale="75" zoomScaleNormal="75" workbookViewId="0" topLeftCell="A1">
      <pane xSplit="4" ySplit="5" topLeftCell="AI6" activePane="bottomRight" state="frozen"/>
      <selection pane="topLeft" activeCell="D35" sqref="D35"/>
      <selection pane="topRight" activeCell="D35" sqref="D35"/>
      <selection pane="bottomLeft" activeCell="D35" sqref="D35"/>
      <selection pane="bottomRight" activeCell="AR9" sqref="AR9"/>
    </sheetView>
  </sheetViews>
  <sheetFormatPr defaultColWidth="9.140625" defaultRowHeight="12.75" outlineLevelCol="1"/>
  <cols>
    <col min="1" max="1" width="9.140625" style="31" customWidth="1"/>
    <col min="2" max="2" width="14.28125" style="31" customWidth="1"/>
    <col min="3" max="3" width="12.421875" style="31" customWidth="1"/>
    <col min="4" max="4" width="21.57421875" style="31" customWidth="1"/>
    <col min="5" max="8" width="3.7109375" style="31" customWidth="1"/>
    <col min="9" max="9" width="7.421875" style="31" customWidth="1"/>
    <col min="10" max="10" width="9.28125" style="31" hidden="1" customWidth="1" outlineLevel="1"/>
    <col min="11" max="12" width="7.7109375" style="31" hidden="1" customWidth="1" outlineLevel="1"/>
    <col min="13" max="13" width="9.8515625" style="31" hidden="1" customWidth="1" outlineLevel="1"/>
    <col min="14" max="18" width="7.7109375" style="31" hidden="1" customWidth="1" outlineLevel="1"/>
    <col min="19" max="19" width="10.140625" style="31" hidden="1" customWidth="1" outlineLevel="1"/>
    <col min="20" max="21" width="7.7109375" style="31" hidden="1" customWidth="1" outlineLevel="1"/>
    <col min="22" max="23" width="0" style="31" hidden="1" customWidth="1" outlineLevel="1"/>
    <col min="24" max="24" width="9.421875" style="31" hidden="1" customWidth="1" outlineLevel="1"/>
    <col min="25" max="25" width="7.7109375" style="31" hidden="1" customWidth="1" outlineLevel="1"/>
    <col min="26" max="26" width="7.00390625" style="31" hidden="1" customWidth="1" outlineLevel="1"/>
    <col min="27" max="27" width="6.421875" style="31" hidden="1" customWidth="1" outlineLevel="1"/>
    <col min="28" max="28" width="7.00390625" style="31" hidden="1" customWidth="1" outlineLevel="1"/>
    <col min="29" max="29" width="10.7109375" style="31" customWidth="1" collapsed="1"/>
    <col min="30" max="34" width="10.7109375" style="31" customWidth="1"/>
    <col min="35" max="37" width="9.140625" style="31" customWidth="1"/>
    <col min="38" max="38" width="10.28125" style="31" bestFit="1" customWidth="1"/>
    <col min="39" max="40" width="9.140625" style="31" customWidth="1"/>
    <col min="41" max="41" width="9.140625" style="445" customWidth="1"/>
    <col min="42" max="42" width="9.140625" style="183" customWidth="1"/>
    <col min="43" max="43" width="9.140625" style="31" customWidth="1"/>
    <col min="44" max="44" width="26.8515625" style="6" customWidth="1"/>
    <col min="45" max="16384" width="9.140625" style="31" customWidth="1"/>
  </cols>
  <sheetData>
    <row r="1" spans="2:33" ht="15.75">
      <c r="B1" s="80" t="s">
        <v>397</v>
      </c>
      <c r="AC1" s="81"/>
      <c r="AD1" s="81"/>
      <c r="AE1" s="81"/>
      <c r="AF1" s="81"/>
      <c r="AG1" s="81"/>
    </row>
    <row r="2" ht="16.5" thickBot="1">
      <c r="B2" s="80" t="s">
        <v>670</v>
      </c>
    </row>
    <row r="3" spans="5:28" ht="13.5" thickBot="1">
      <c r="E3" s="83"/>
      <c r="F3" s="83"/>
      <c r="G3" s="83"/>
      <c r="H3" s="83"/>
      <c r="I3" s="83"/>
      <c r="J3" s="84" t="s">
        <v>36</v>
      </c>
      <c r="K3" s="85"/>
      <c r="L3" s="85"/>
      <c r="M3" s="85"/>
      <c r="N3" s="85"/>
      <c r="O3" s="85"/>
      <c r="P3" s="85"/>
      <c r="Q3" s="85"/>
      <c r="R3" s="85"/>
      <c r="S3" s="85"/>
      <c r="T3" s="85"/>
      <c r="U3" s="85"/>
      <c r="V3" s="85"/>
      <c r="W3" s="85"/>
      <c r="X3" s="86"/>
      <c r="Y3" s="87"/>
      <c r="Z3" s="88"/>
      <c r="AA3" s="88"/>
      <c r="AB3" s="89"/>
    </row>
    <row r="4" spans="5:43" ht="40.5" customHeight="1" thickBot="1">
      <c r="E4" s="61" t="s">
        <v>33</v>
      </c>
      <c r="F4" s="62"/>
      <c r="G4" s="62"/>
      <c r="H4" s="62"/>
      <c r="I4" s="63"/>
      <c r="J4" s="61" t="s">
        <v>679</v>
      </c>
      <c r="K4" s="85"/>
      <c r="L4" s="86"/>
      <c r="M4" s="85" t="s">
        <v>677</v>
      </c>
      <c r="N4" s="85"/>
      <c r="O4" s="86"/>
      <c r="P4" s="90" t="s">
        <v>680</v>
      </c>
      <c r="Q4" s="90"/>
      <c r="R4" s="91"/>
      <c r="S4" s="85" t="s">
        <v>675</v>
      </c>
      <c r="T4" s="85"/>
      <c r="U4" s="86"/>
      <c r="V4" s="85" t="s">
        <v>1197</v>
      </c>
      <c r="W4" s="86"/>
      <c r="X4" s="92"/>
      <c r="Y4" s="93" t="s">
        <v>34</v>
      </c>
      <c r="Z4" s="94"/>
      <c r="AA4" s="94"/>
      <c r="AB4" s="95"/>
      <c r="AC4" s="36" t="s">
        <v>956</v>
      </c>
      <c r="AD4" s="36"/>
      <c r="AE4" s="36"/>
      <c r="AF4" s="36" t="s">
        <v>1284</v>
      </c>
      <c r="AG4" s="36"/>
      <c r="AH4" s="36"/>
      <c r="AI4" s="35" t="s">
        <v>1081</v>
      </c>
      <c r="AJ4" s="35"/>
      <c r="AK4" s="35"/>
      <c r="AL4" s="35" t="s">
        <v>346</v>
      </c>
      <c r="AM4" s="35"/>
      <c r="AN4" s="35"/>
      <c r="AO4" s="446" t="s">
        <v>662</v>
      </c>
      <c r="AP4" s="441"/>
      <c r="AQ4" s="35"/>
    </row>
    <row r="5" spans="2:44" ht="180.75" thickBot="1">
      <c r="B5" s="96" t="s">
        <v>835</v>
      </c>
      <c r="C5" s="96" t="s">
        <v>834</v>
      </c>
      <c r="D5" s="96" t="s">
        <v>836</v>
      </c>
      <c r="E5" s="11" t="s">
        <v>28</v>
      </c>
      <c r="F5" s="12" t="s">
        <v>29</v>
      </c>
      <c r="G5" s="12" t="s">
        <v>30</v>
      </c>
      <c r="H5" s="12" t="s">
        <v>31</v>
      </c>
      <c r="I5" s="13" t="s">
        <v>668</v>
      </c>
      <c r="J5" s="97" t="s">
        <v>37</v>
      </c>
      <c r="K5" s="98" t="s">
        <v>38</v>
      </c>
      <c r="L5" s="99" t="s">
        <v>39</v>
      </c>
      <c r="M5" s="97" t="s">
        <v>678</v>
      </c>
      <c r="N5" s="98" t="s">
        <v>38</v>
      </c>
      <c r="O5" s="99" t="s">
        <v>39</v>
      </c>
      <c r="P5" s="97" t="s">
        <v>37</v>
      </c>
      <c r="Q5" s="98" t="s">
        <v>38</v>
      </c>
      <c r="R5" s="99" t="s">
        <v>39</v>
      </c>
      <c r="S5" s="97" t="s">
        <v>678</v>
      </c>
      <c r="T5" s="98" t="s">
        <v>38</v>
      </c>
      <c r="U5" s="99" t="s">
        <v>39</v>
      </c>
      <c r="V5" s="100" t="s">
        <v>40</v>
      </c>
      <c r="W5" s="99" t="s">
        <v>41</v>
      </c>
      <c r="X5" s="101" t="s">
        <v>35</v>
      </c>
      <c r="Y5" s="97" t="s">
        <v>1306</v>
      </c>
      <c r="Z5" s="98" t="s">
        <v>681</v>
      </c>
      <c r="AA5" s="98" t="s">
        <v>32</v>
      </c>
      <c r="AB5" s="102" t="s">
        <v>682</v>
      </c>
      <c r="AC5" s="109" t="s">
        <v>777</v>
      </c>
      <c r="AD5" s="111" t="s">
        <v>778</v>
      </c>
      <c r="AE5" s="110" t="s">
        <v>779</v>
      </c>
      <c r="AF5" s="109" t="s">
        <v>777</v>
      </c>
      <c r="AG5" s="111" t="s">
        <v>778</v>
      </c>
      <c r="AH5" s="110" t="s">
        <v>779</v>
      </c>
      <c r="AI5" s="134" t="s">
        <v>1266</v>
      </c>
      <c r="AJ5" s="135" t="s">
        <v>1356</v>
      </c>
      <c r="AK5" s="139" t="s">
        <v>1357</v>
      </c>
      <c r="AL5" s="109" t="s">
        <v>1266</v>
      </c>
      <c r="AM5" s="111" t="s">
        <v>1356</v>
      </c>
      <c r="AN5" s="110" t="s">
        <v>1357</v>
      </c>
      <c r="AO5" s="455" t="s">
        <v>1358</v>
      </c>
      <c r="AP5" s="592" t="s">
        <v>650</v>
      </c>
      <c r="AQ5" s="140" t="s">
        <v>517</v>
      </c>
      <c r="AR5" s="8" t="s">
        <v>676</v>
      </c>
    </row>
    <row r="6" spans="2:44" ht="12.75">
      <c r="B6" s="151" t="s">
        <v>524</v>
      </c>
      <c r="C6" s="152"/>
      <c r="D6" s="152"/>
      <c r="E6" s="153"/>
      <c r="F6" s="154"/>
      <c r="G6" s="155"/>
      <c r="H6" s="154"/>
      <c r="I6" s="9"/>
      <c r="J6" s="9"/>
      <c r="K6" s="9"/>
      <c r="L6" s="9"/>
      <c r="M6" s="9"/>
      <c r="N6" s="9"/>
      <c r="O6" s="9"/>
      <c r="P6" s="9"/>
      <c r="Q6" s="9"/>
      <c r="R6" s="9"/>
      <c r="S6" s="9"/>
      <c r="T6" s="9"/>
      <c r="U6" s="9"/>
      <c r="V6" s="9"/>
      <c r="W6" s="9"/>
      <c r="X6" s="9"/>
      <c r="Y6" s="9"/>
      <c r="Z6" s="9"/>
      <c r="AA6" s="9"/>
      <c r="AB6" s="9"/>
      <c r="AC6" s="342"/>
      <c r="AD6" s="342"/>
      <c r="AE6" s="342"/>
      <c r="AF6" s="342"/>
      <c r="AG6" s="342"/>
      <c r="AH6" s="342"/>
      <c r="AI6" s="342"/>
      <c r="AJ6" s="342"/>
      <c r="AK6" s="342"/>
      <c r="AL6" s="342"/>
      <c r="AM6" s="342"/>
      <c r="AN6" s="342"/>
      <c r="AO6" s="471"/>
      <c r="AP6" s="610"/>
      <c r="AQ6" s="160"/>
      <c r="AR6" s="161"/>
    </row>
    <row r="7" spans="1:44" ht="153">
      <c r="A7" s="147" t="s">
        <v>96</v>
      </c>
      <c r="B7" s="380" t="s">
        <v>773</v>
      </c>
      <c r="C7" s="32" t="s">
        <v>1198</v>
      </c>
      <c r="D7" s="32" t="s">
        <v>927</v>
      </c>
      <c r="E7" s="164"/>
      <c r="F7" s="165" t="s">
        <v>969</v>
      </c>
      <c r="G7" s="166"/>
      <c r="H7" s="167"/>
      <c r="I7" s="168" t="s">
        <v>493</v>
      </c>
      <c r="J7" s="168"/>
      <c r="K7" s="168"/>
      <c r="L7" s="168"/>
      <c r="M7" s="168"/>
      <c r="N7" s="168"/>
      <c r="O7" s="168"/>
      <c r="P7" s="168"/>
      <c r="Q7" s="168"/>
      <c r="R7" s="168"/>
      <c r="S7" s="168"/>
      <c r="T7" s="168"/>
      <c r="U7" s="168"/>
      <c r="V7" s="168"/>
      <c r="W7" s="168"/>
      <c r="X7" s="168"/>
      <c r="Y7" s="168"/>
      <c r="Z7" s="168"/>
      <c r="AA7" s="168"/>
      <c r="AB7" s="168"/>
      <c r="AC7" s="344" t="s">
        <v>982</v>
      </c>
      <c r="AD7" s="344" t="s">
        <v>982</v>
      </c>
      <c r="AE7" s="345">
        <v>40000</v>
      </c>
      <c r="AF7" s="345"/>
      <c r="AG7" s="345"/>
      <c r="AH7" s="345">
        <f>AE7</f>
        <v>40000</v>
      </c>
      <c r="AI7" s="344" t="s">
        <v>982</v>
      </c>
      <c r="AJ7" s="345">
        <v>30</v>
      </c>
      <c r="AK7" s="344" t="s">
        <v>982</v>
      </c>
      <c r="AL7" s="344" t="s">
        <v>982</v>
      </c>
      <c r="AM7" s="345">
        <v>30</v>
      </c>
      <c r="AN7" s="344" t="s">
        <v>982</v>
      </c>
      <c r="AO7" s="473" t="str">
        <f>IF(OR(AL7="NA",AL7=0),"NA",$AH7/AL7)</f>
        <v>NA</v>
      </c>
      <c r="AP7" s="611">
        <f>IF(OR(AM7="NA",AM7=0),"NA",$AH7/AM7)</f>
        <v>1333.3333333333333</v>
      </c>
      <c r="AQ7" s="169" t="str">
        <f>IF(OR(AN7="NA",AN7=0),"NA",$AH7/AN7)</f>
        <v>NA</v>
      </c>
      <c r="AR7" s="170" t="s">
        <v>928</v>
      </c>
    </row>
    <row r="8" spans="2:44" ht="12.75">
      <c r="B8" s="151" t="s">
        <v>525</v>
      </c>
      <c r="C8" s="152"/>
      <c r="D8" s="152"/>
      <c r="E8" s="153"/>
      <c r="F8" s="154"/>
      <c r="G8" s="155"/>
      <c r="H8" s="154"/>
      <c r="I8" s="9"/>
      <c r="J8" s="9"/>
      <c r="K8" s="9"/>
      <c r="L8" s="9"/>
      <c r="M8" s="9"/>
      <c r="N8" s="9"/>
      <c r="O8" s="9"/>
      <c r="P8" s="9"/>
      <c r="Q8" s="9"/>
      <c r="R8" s="9"/>
      <c r="S8" s="9"/>
      <c r="T8" s="9"/>
      <c r="U8" s="9"/>
      <c r="V8" s="9"/>
      <c r="W8" s="9"/>
      <c r="X8" s="9"/>
      <c r="Y8" s="9"/>
      <c r="Z8" s="9"/>
      <c r="AA8" s="9"/>
      <c r="AB8" s="9"/>
      <c r="AC8" s="342"/>
      <c r="AD8" s="342"/>
      <c r="AE8" s="342"/>
      <c r="AF8" s="342"/>
      <c r="AG8" s="342"/>
      <c r="AH8" s="346"/>
      <c r="AI8" s="342"/>
      <c r="AJ8" s="342"/>
      <c r="AK8" s="342"/>
      <c r="AL8" s="342"/>
      <c r="AM8" s="342"/>
      <c r="AN8" s="342"/>
      <c r="AO8" s="471"/>
      <c r="AP8" s="610"/>
      <c r="AQ8" s="160"/>
      <c r="AR8" s="161"/>
    </row>
    <row r="9" spans="1:44" ht="63.75">
      <c r="A9" s="147" t="s">
        <v>97</v>
      </c>
      <c r="B9" s="382" t="s">
        <v>490</v>
      </c>
      <c r="C9" s="59" t="s">
        <v>492</v>
      </c>
      <c r="D9" s="58" t="s">
        <v>929</v>
      </c>
      <c r="E9" s="347"/>
      <c r="F9" s="178"/>
      <c r="G9" s="348"/>
      <c r="H9" s="178"/>
      <c r="I9" s="20" t="s">
        <v>526</v>
      </c>
      <c r="J9" s="20"/>
      <c r="K9" s="20"/>
      <c r="L9" s="20"/>
      <c r="M9" s="20"/>
      <c r="N9" s="20"/>
      <c r="O9" s="20"/>
      <c r="P9" s="20"/>
      <c r="Q9" s="20"/>
      <c r="R9" s="20"/>
      <c r="S9" s="20"/>
      <c r="T9" s="20"/>
      <c r="U9" s="20"/>
      <c r="V9" s="20"/>
      <c r="W9" s="20"/>
      <c r="X9" s="20"/>
      <c r="Y9" s="20"/>
      <c r="Z9" s="20"/>
      <c r="AA9" s="20"/>
      <c r="AB9" s="45"/>
      <c r="AC9" s="339" t="s">
        <v>982</v>
      </c>
      <c r="AD9" s="339" t="s">
        <v>982</v>
      </c>
      <c r="AE9" s="343">
        <v>20000</v>
      </c>
      <c r="AF9" s="343">
        <f>AH9-AG9</f>
        <v>10025</v>
      </c>
      <c r="AG9" s="343">
        <f>1900*5.25</f>
        <v>9975</v>
      </c>
      <c r="AH9" s="343">
        <f>AE9</f>
        <v>20000</v>
      </c>
      <c r="AI9" s="339" t="s">
        <v>982</v>
      </c>
      <c r="AJ9" s="343">
        <v>100</v>
      </c>
      <c r="AK9" s="339" t="s">
        <v>982</v>
      </c>
      <c r="AL9" s="339" t="s">
        <v>982</v>
      </c>
      <c r="AM9" s="343">
        <v>122</v>
      </c>
      <c r="AN9" s="339" t="s">
        <v>982</v>
      </c>
      <c r="AO9" s="472" t="str">
        <f>IF(OR(AL9="NA",AL9=0),"NA",$AH9/AL9)</f>
        <v>NA</v>
      </c>
      <c r="AP9" s="612">
        <f>IF(OR(AM9="NA",AM9=0),"NA",$AH9/AM9)</f>
        <v>163.9344262295082</v>
      </c>
      <c r="AQ9" s="163" t="str">
        <f>IF(OR(AN9="NA",AN9=0),"NA",$AH9/AN9)</f>
        <v>NA</v>
      </c>
      <c r="AR9" s="20"/>
    </row>
    <row r="10" spans="2:44" ht="12.75">
      <c r="B10" s="271" t="s">
        <v>651</v>
      </c>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50">
        <f>SUM(AC6:AC9)</f>
        <v>0</v>
      </c>
      <c r="AD10" s="350">
        <f>SUM(AD6:AD9)</f>
        <v>0</v>
      </c>
      <c r="AE10" s="350">
        <f>SUM(AE6:AE9)</f>
        <v>60000</v>
      </c>
      <c r="AF10" s="350">
        <f>SUM(AF6:AF9)</f>
        <v>10025</v>
      </c>
      <c r="AG10" s="350">
        <f>SUM(AG6:AG9)</f>
        <v>9975</v>
      </c>
      <c r="AH10" s="350">
        <f>SUM(AH6:AH9)</f>
        <v>60000</v>
      </c>
      <c r="AI10" s="350">
        <f>SUM(AI6:AI9)</f>
        <v>0</v>
      </c>
      <c r="AJ10" s="350">
        <f>SUM(AJ6:AJ9)</f>
        <v>130</v>
      </c>
      <c r="AK10" s="350">
        <f>SUM(AK6:AK9)</f>
        <v>0</v>
      </c>
      <c r="AL10" s="350">
        <f>SUM(AL6:AL9)</f>
        <v>0</v>
      </c>
      <c r="AM10" s="350">
        <f>SUM(AM6:AM9)</f>
        <v>152</v>
      </c>
      <c r="AN10" s="350">
        <f>SUM(AN6:AN9)</f>
        <v>0</v>
      </c>
      <c r="AO10" s="474" t="s">
        <v>982</v>
      </c>
      <c r="AP10" s="613">
        <f>AH10/AM10</f>
        <v>394.7368421052632</v>
      </c>
      <c r="AQ10" s="349" t="s">
        <v>982</v>
      </c>
      <c r="AR10" s="37"/>
    </row>
  </sheetData>
  <sheetProtection password="DE47" sheet="1" objects="1" scenarios="1"/>
  <printOptions/>
  <pageMargins left="0.5" right="0.5" top="0.54" bottom="1" header="0.5" footer="0.5"/>
  <pageSetup fitToHeight="4" fitToWidth="1" horizontalDpi="300" verticalDpi="300" orientation="landscape" scale="53" r:id="rId4"/>
  <headerFooter alignWithMargins="0">
    <oddHeader>&amp;CCALMAC Summary Study</oddHeader>
    <oddFooter>&amp;LGlobal Energy Partners, LLC&amp;C&amp;D&amp;RPage &amp;P of &amp;N</oddFooter>
  </headerFooter>
  <drawing r:id="rId3"/>
  <legacyDrawing r:id="rId2"/>
</worksheet>
</file>

<file path=xl/worksheets/sheet15.xml><?xml version="1.0" encoding="utf-8"?>
<worksheet xmlns="http://schemas.openxmlformats.org/spreadsheetml/2006/main" xmlns:r="http://schemas.openxmlformats.org/officeDocument/2006/relationships">
  <dimension ref="A1:AR10"/>
  <sheetViews>
    <sheetView showGridLines="0" zoomScale="75" zoomScaleNormal="75" workbookViewId="0" topLeftCell="A1">
      <selection activeCell="AJ16" sqref="AJ16"/>
    </sheetView>
  </sheetViews>
  <sheetFormatPr defaultColWidth="9.140625" defaultRowHeight="12.75" outlineLevelCol="1"/>
  <cols>
    <col min="1" max="1" width="9.140625" style="31" customWidth="1"/>
    <col min="2" max="2" width="14.28125" style="31" customWidth="1"/>
    <col min="3" max="3" width="12.421875" style="31" customWidth="1"/>
    <col min="4" max="4" width="21.57421875" style="31" customWidth="1"/>
    <col min="5" max="8" width="3.7109375" style="31" customWidth="1"/>
    <col min="9" max="9" width="7.421875" style="31" customWidth="1"/>
    <col min="10" max="10" width="9.28125" style="31" hidden="1" customWidth="1" outlineLevel="1"/>
    <col min="11" max="12" width="7.7109375" style="31" hidden="1" customWidth="1" outlineLevel="1"/>
    <col min="13" max="13" width="9.8515625" style="31" hidden="1" customWidth="1" outlineLevel="1"/>
    <col min="14" max="18" width="7.7109375" style="31" hidden="1" customWidth="1" outlineLevel="1"/>
    <col min="19" max="19" width="10.140625" style="31" hidden="1" customWidth="1" outlineLevel="1"/>
    <col min="20" max="21" width="7.7109375" style="31" hidden="1" customWidth="1" outlineLevel="1"/>
    <col min="22" max="23" width="0" style="31" hidden="1" customWidth="1" outlineLevel="1"/>
    <col min="24" max="24" width="9.421875" style="31" hidden="1" customWidth="1" outlineLevel="1"/>
    <col min="25" max="25" width="7.7109375" style="31" hidden="1" customWidth="1" outlineLevel="1"/>
    <col min="26" max="26" width="7.00390625" style="31" hidden="1" customWidth="1" outlineLevel="1"/>
    <col min="27" max="27" width="6.421875" style="31" hidden="1" customWidth="1" outlineLevel="1"/>
    <col min="28" max="28" width="7.00390625" style="31" hidden="1" customWidth="1" outlineLevel="1"/>
    <col min="29" max="29" width="10.7109375" style="31" customWidth="1" collapsed="1"/>
    <col min="30" max="34" width="10.7109375" style="31" customWidth="1"/>
    <col min="35" max="37" width="9.140625" style="31" customWidth="1"/>
    <col min="38" max="38" width="10.28125" style="31" bestFit="1" customWidth="1"/>
    <col min="39" max="40" width="9.140625" style="31" customWidth="1"/>
    <col min="41" max="41" width="9.140625" style="445" customWidth="1"/>
    <col min="42" max="42" width="9.140625" style="183" customWidth="1"/>
    <col min="43" max="43" width="9.140625" style="31" customWidth="1"/>
    <col min="44" max="44" width="26.8515625" style="6" customWidth="1"/>
    <col min="45" max="16384" width="9.140625" style="31" customWidth="1"/>
  </cols>
  <sheetData>
    <row r="1" spans="2:33" ht="15.75">
      <c r="B1" s="80" t="s">
        <v>398</v>
      </c>
      <c r="AC1" s="81"/>
      <c r="AD1" s="81"/>
      <c r="AE1" s="81"/>
      <c r="AF1" s="81"/>
      <c r="AG1" s="81"/>
    </row>
    <row r="2" ht="16.5" thickBot="1">
      <c r="B2" s="80" t="s">
        <v>670</v>
      </c>
    </row>
    <row r="3" spans="5:28" ht="13.5" thickBot="1">
      <c r="E3" s="83"/>
      <c r="F3" s="83"/>
      <c r="G3" s="83"/>
      <c r="H3" s="83"/>
      <c r="I3" s="83"/>
      <c r="J3" s="84" t="s">
        <v>36</v>
      </c>
      <c r="K3" s="85"/>
      <c r="L3" s="85"/>
      <c r="M3" s="85"/>
      <c r="N3" s="85"/>
      <c r="O3" s="85"/>
      <c r="P3" s="85"/>
      <c r="Q3" s="85"/>
      <c r="R3" s="85"/>
      <c r="S3" s="85"/>
      <c r="T3" s="85"/>
      <c r="U3" s="85"/>
      <c r="V3" s="85"/>
      <c r="W3" s="85"/>
      <c r="X3" s="86"/>
      <c r="Y3" s="87"/>
      <c r="Z3" s="88"/>
      <c r="AA3" s="88"/>
      <c r="AB3" s="89"/>
    </row>
    <row r="4" spans="5:43" ht="40.5" customHeight="1" thickBot="1">
      <c r="E4" s="61" t="s">
        <v>33</v>
      </c>
      <c r="F4" s="62"/>
      <c r="G4" s="62"/>
      <c r="H4" s="62"/>
      <c r="I4" s="63"/>
      <c r="J4" s="61" t="s">
        <v>679</v>
      </c>
      <c r="K4" s="85"/>
      <c r="L4" s="86"/>
      <c r="M4" s="85" t="s">
        <v>677</v>
      </c>
      <c r="N4" s="85"/>
      <c r="O4" s="86"/>
      <c r="P4" s="90" t="s">
        <v>680</v>
      </c>
      <c r="Q4" s="90"/>
      <c r="R4" s="91"/>
      <c r="S4" s="85" t="s">
        <v>675</v>
      </c>
      <c r="T4" s="85"/>
      <c r="U4" s="86"/>
      <c r="V4" s="85" t="s">
        <v>1197</v>
      </c>
      <c r="W4" s="86"/>
      <c r="X4" s="92"/>
      <c r="Y4" s="93" t="s">
        <v>34</v>
      </c>
      <c r="Z4" s="94"/>
      <c r="AA4" s="94"/>
      <c r="AB4" s="95"/>
      <c r="AC4" s="36" t="s">
        <v>956</v>
      </c>
      <c r="AD4" s="36"/>
      <c r="AE4" s="36"/>
      <c r="AF4" s="36" t="s">
        <v>1284</v>
      </c>
      <c r="AG4" s="36"/>
      <c r="AH4" s="36"/>
      <c r="AI4" s="35" t="s">
        <v>1081</v>
      </c>
      <c r="AJ4" s="35"/>
      <c r="AK4" s="35"/>
      <c r="AL4" s="35" t="s">
        <v>346</v>
      </c>
      <c r="AM4" s="35"/>
      <c r="AN4" s="35"/>
      <c r="AO4" s="446" t="s">
        <v>662</v>
      </c>
      <c r="AP4" s="441"/>
      <c r="AQ4" s="35"/>
    </row>
    <row r="5" spans="2:44" ht="180.75" thickBot="1">
      <c r="B5" s="96" t="s">
        <v>835</v>
      </c>
      <c r="C5" s="96" t="s">
        <v>834</v>
      </c>
      <c r="D5" s="96" t="s">
        <v>836</v>
      </c>
      <c r="E5" s="11" t="s">
        <v>28</v>
      </c>
      <c r="F5" s="12" t="s">
        <v>29</v>
      </c>
      <c r="G5" s="12" t="s">
        <v>30</v>
      </c>
      <c r="H5" s="12" t="s">
        <v>31</v>
      </c>
      <c r="I5" s="13" t="s">
        <v>668</v>
      </c>
      <c r="J5" s="97" t="s">
        <v>37</v>
      </c>
      <c r="K5" s="98" t="s">
        <v>38</v>
      </c>
      <c r="L5" s="99" t="s">
        <v>39</v>
      </c>
      <c r="M5" s="97" t="s">
        <v>678</v>
      </c>
      <c r="N5" s="98" t="s">
        <v>38</v>
      </c>
      <c r="O5" s="99" t="s">
        <v>39</v>
      </c>
      <c r="P5" s="97" t="s">
        <v>37</v>
      </c>
      <c r="Q5" s="98" t="s">
        <v>38</v>
      </c>
      <c r="R5" s="99" t="s">
        <v>39</v>
      </c>
      <c r="S5" s="97" t="s">
        <v>678</v>
      </c>
      <c r="T5" s="98" t="s">
        <v>38</v>
      </c>
      <c r="U5" s="99" t="s">
        <v>39</v>
      </c>
      <c r="V5" s="100" t="s">
        <v>40</v>
      </c>
      <c r="W5" s="99" t="s">
        <v>41</v>
      </c>
      <c r="X5" s="101" t="s">
        <v>35</v>
      </c>
      <c r="Y5" s="97" t="s">
        <v>1306</v>
      </c>
      <c r="Z5" s="98" t="s">
        <v>681</v>
      </c>
      <c r="AA5" s="98" t="s">
        <v>32</v>
      </c>
      <c r="AB5" s="102" t="s">
        <v>682</v>
      </c>
      <c r="AC5" s="109" t="s">
        <v>777</v>
      </c>
      <c r="AD5" s="111" t="s">
        <v>778</v>
      </c>
      <c r="AE5" s="110" t="s">
        <v>779</v>
      </c>
      <c r="AF5" s="109" t="s">
        <v>777</v>
      </c>
      <c r="AG5" s="111" t="s">
        <v>778</v>
      </c>
      <c r="AH5" s="110" t="s">
        <v>779</v>
      </c>
      <c r="AI5" s="134" t="s">
        <v>1266</v>
      </c>
      <c r="AJ5" s="135" t="s">
        <v>1356</v>
      </c>
      <c r="AK5" s="139" t="s">
        <v>1357</v>
      </c>
      <c r="AL5" s="109" t="s">
        <v>1266</v>
      </c>
      <c r="AM5" s="111" t="s">
        <v>1356</v>
      </c>
      <c r="AN5" s="110" t="s">
        <v>1357</v>
      </c>
      <c r="AO5" s="455" t="s">
        <v>1358</v>
      </c>
      <c r="AP5" s="592" t="s">
        <v>650</v>
      </c>
      <c r="AQ5" s="140" t="s">
        <v>517</v>
      </c>
      <c r="AR5" s="8" t="s">
        <v>676</v>
      </c>
    </row>
    <row r="6" spans="2:44" ht="12.75">
      <c r="B6" s="151" t="s">
        <v>494</v>
      </c>
      <c r="C6" s="152"/>
      <c r="D6" s="152"/>
      <c r="E6" s="153"/>
      <c r="F6" s="154"/>
      <c r="G6" s="155"/>
      <c r="H6" s="154"/>
      <c r="I6" s="9"/>
      <c r="J6" s="9"/>
      <c r="K6" s="9"/>
      <c r="L6" s="9"/>
      <c r="M6" s="9"/>
      <c r="N6" s="9"/>
      <c r="O6" s="9"/>
      <c r="P6" s="9"/>
      <c r="Q6" s="9"/>
      <c r="R6" s="9"/>
      <c r="S6" s="9"/>
      <c r="T6" s="9"/>
      <c r="U6" s="9"/>
      <c r="V6" s="9"/>
      <c r="W6" s="9"/>
      <c r="X6" s="9"/>
      <c r="Y6" s="9"/>
      <c r="Z6" s="9"/>
      <c r="AA6" s="9"/>
      <c r="AB6" s="9"/>
      <c r="AC6" s="156"/>
      <c r="AD6" s="156"/>
      <c r="AE6" s="156"/>
      <c r="AF6" s="156"/>
      <c r="AG6" s="156"/>
      <c r="AH6" s="156"/>
      <c r="AI6" s="156"/>
      <c r="AJ6" s="156"/>
      <c r="AK6" s="156"/>
      <c r="AL6" s="156"/>
      <c r="AM6" s="156"/>
      <c r="AN6" s="156"/>
      <c r="AO6" s="469"/>
      <c r="AP6" s="609"/>
      <c r="AQ6" s="156"/>
      <c r="AR6" s="157"/>
    </row>
    <row r="7" spans="1:44" ht="76.5">
      <c r="A7" s="147" t="s">
        <v>94</v>
      </c>
      <c r="B7" s="380" t="s">
        <v>674</v>
      </c>
      <c r="C7" s="32" t="s">
        <v>293</v>
      </c>
      <c r="D7" s="38" t="s">
        <v>489</v>
      </c>
      <c r="E7" s="149"/>
      <c r="F7" s="39"/>
      <c r="G7" s="150"/>
      <c r="H7" s="39"/>
      <c r="I7" s="4" t="s">
        <v>495</v>
      </c>
      <c r="J7" s="4"/>
      <c r="K7" s="4"/>
      <c r="L7" s="4"/>
      <c r="M7" s="4"/>
      <c r="N7" s="4"/>
      <c r="O7" s="4"/>
      <c r="P7" s="4"/>
      <c r="Q7" s="4"/>
      <c r="R7" s="4"/>
      <c r="S7" s="4"/>
      <c r="T7" s="4"/>
      <c r="U7" s="4"/>
      <c r="V7" s="4"/>
      <c r="W7" s="4"/>
      <c r="X7" s="4"/>
      <c r="Y7" s="4"/>
      <c r="Z7" s="4"/>
      <c r="AA7" s="4"/>
      <c r="AB7" s="18"/>
      <c r="AC7" s="339">
        <f>AE7</f>
        <v>65000</v>
      </c>
      <c r="AD7" s="339">
        <v>0</v>
      </c>
      <c r="AE7" s="340">
        <v>65000</v>
      </c>
      <c r="AF7" s="341" t="s">
        <v>982</v>
      </c>
      <c r="AG7" s="341" t="s">
        <v>982</v>
      </c>
      <c r="AH7" s="341">
        <v>65000</v>
      </c>
      <c r="AI7" s="341" t="s">
        <v>982</v>
      </c>
      <c r="AJ7" s="340">
        <v>5000</v>
      </c>
      <c r="AK7" s="341" t="s">
        <v>982</v>
      </c>
      <c r="AL7" s="341" t="s">
        <v>982</v>
      </c>
      <c r="AM7" s="651">
        <v>2616</v>
      </c>
      <c r="AN7" s="341" t="s">
        <v>982</v>
      </c>
      <c r="AO7" s="470" t="str">
        <f>IF(OR(AL7="NA",AL7=0),"NA",$AH7/AL7)</f>
        <v>NA</v>
      </c>
      <c r="AP7" s="644">
        <f>(AH7+AH9)/AM7</f>
        <v>158.63914373088684</v>
      </c>
      <c r="AQ7" s="158" t="str">
        <f>IF(OR(AN7="NA",AN7=0),"NA",$AH7/AN7)</f>
        <v>NA</v>
      </c>
      <c r="AR7" s="159" t="s">
        <v>491</v>
      </c>
    </row>
    <row r="8" spans="2:44" ht="12.75">
      <c r="B8" s="151" t="s">
        <v>496</v>
      </c>
      <c r="C8" s="152"/>
      <c r="D8" s="152"/>
      <c r="E8" s="153"/>
      <c r="F8" s="154"/>
      <c r="G8" s="155"/>
      <c r="H8" s="154"/>
      <c r="I8" s="9"/>
      <c r="J8" s="9"/>
      <c r="K8" s="9"/>
      <c r="L8" s="9"/>
      <c r="M8" s="9"/>
      <c r="N8" s="9"/>
      <c r="O8" s="9"/>
      <c r="P8" s="9"/>
      <c r="Q8" s="9"/>
      <c r="R8" s="9"/>
      <c r="S8" s="9"/>
      <c r="T8" s="9"/>
      <c r="U8" s="9"/>
      <c r="V8" s="9"/>
      <c r="W8" s="9"/>
      <c r="X8" s="9"/>
      <c r="Y8" s="9"/>
      <c r="Z8" s="9"/>
      <c r="AA8" s="9"/>
      <c r="AB8" s="9"/>
      <c r="AC8" s="342"/>
      <c r="AD8" s="342"/>
      <c r="AE8" s="342"/>
      <c r="AF8" s="342"/>
      <c r="AG8" s="342"/>
      <c r="AH8" s="342"/>
      <c r="AI8" s="342"/>
      <c r="AJ8" s="342"/>
      <c r="AK8" s="346" t="s">
        <v>982</v>
      </c>
      <c r="AL8" s="523"/>
      <c r="AM8" s="652"/>
      <c r="AN8" s="524"/>
      <c r="AO8" s="525"/>
      <c r="AP8" s="683"/>
      <c r="AQ8" s="526"/>
      <c r="AR8" s="161"/>
    </row>
    <row r="9" spans="1:44" ht="89.25">
      <c r="A9" s="147" t="s">
        <v>95</v>
      </c>
      <c r="B9" s="381" t="s">
        <v>488</v>
      </c>
      <c r="C9" s="33" t="s">
        <v>293</v>
      </c>
      <c r="D9" s="40" t="s">
        <v>256</v>
      </c>
      <c r="E9" s="142"/>
      <c r="F9" s="41"/>
      <c r="G9" s="162"/>
      <c r="H9" s="144"/>
      <c r="I9" s="1" t="s">
        <v>832</v>
      </c>
      <c r="J9" s="1"/>
      <c r="K9" s="1"/>
      <c r="L9" s="1"/>
      <c r="M9" s="1"/>
      <c r="N9" s="1"/>
      <c r="O9" s="1"/>
      <c r="P9" s="1"/>
      <c r="Q9" s="1"/>
      <c r="R9" s="1"/>
      <c r="S9" s="1"/>
      <c r="T9" s="1"/>
      <c r="U9" s="1"/>
      <c r="V9" s="1"/>
      <c r="W9" s="1"/>
      <c r="X9" s="1"/>
      <c r="Y9" s="1"/>
      <c r="Z9" s="1"/>
      <c r="AA9" s="1"/>
      <c r="AB9" s="44"/>
      <c r="AC9" s="339" t="s">
        <v>982</v>
      </c>
      <c r="AD9" s="339" t="s">
        <v>982</v>
      </c>
      <c r="AE9" s="343">
        <v>350000</v>
      </c>
      <c r="AF9" s="343">
        <f>AH9-AG9</f>
        <v>64000</v>
      </c>
      <c r="AG9" s="343">
        <v>286000</v>
      </c>
      <c r="AH9" s="343">
        <v>350000</v>
      </c>
      <c r="AI9" s="339" t="s">
        <v>982</v>
      </c>
      <c r="AJ9" s="343">
        <v>2000</v>
      </c>
      <c r="AK9" s="339" t="s">
        <v>982</v>
      </c>
      <c r="AL9" s="343">
        <v>5258000</v>
      </c>
      <c r="AM9" s="643"/>
      <c r="AN9" s="339" t="s">
        <v>982</v>
      </c>
      <c r="AO9" s="472">
        <f>IF(OR(AL9="NA",AL9=0),"NA",$AH9/AL9)</f>
        <v>0.06656523392925066</v>
      </c>
      <c r="AP9" s="684"/>
      <c r="AQ9" s="163" t="str">
        <f>IF(OR(AN9="NA",AN9=0),"NA",$AH9/AN9)</f>
        <v>NA</v>
      </c>
      <c r="AR9" s="1" t="s">
        <v>833</v>
      </c>
    </row>
    <row r="10" spans="2:44" ht="12.75">
      <c r="B10" s="271" t="s">
        <v>651</v>
      </c>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50">
        <f>SUM(AC7:AC9)</f>
        <v>65000</v>
      </c>
      <c r="AD10" s="350">
        <f>SUM(AD7:AD9)</f>
        <v>0</v>
      </c>
      <c r="AE10" s="350">
        <f>SUM(AE7:AE9)</f>
        <v>415000</v>
      </c>
      <c r="AF10" s="350">
        <f>SUM(AF7:AF9)</f>
        <v>64000</v>
      </c>
      <c r="AG10" s="350">
        <f>SUM(AG7:AG9)</f>
        <v>286000</v>
      </c>
      <c r="AH10" s="350">
        <f>SUM(AH7:AH9)</f>
        <v>415000</v>
      </c>
      <c r="AI10" s="350">
        <f>SUM(AI7:AI9)</f>
        <v>0</v>
      </c>
      <c r="AJ10" s="350">
        <f>SUM(AJ7:AJ9)</f>
        <v>7000</v>
      </c>
      <c r="AK10" s="350">
        <f>SUM(AK7:AK9)</f>
        <v>0</v>
      </c>
      <c r="AL10" s="350">
        <f>SUM(AL7:AL9)</f>
        <v>5258000</v>
      </c>
      <c r="AM10" s="350">
        <f>SUM(AM7:AM9)</f>
        <v>2616</v>
      </c>
      <c r="AN10" s="350">
        <f>SUM(AN7:AN9)</f>
        <v>0</v>
      </c>
      <c r="AO10" s="474">
        <f>AH10/AL10</f>
        <v>0.0789273488018258</v>
      </c>
      <c r="AP10" s="613">
        <f>AH10/AM10</f>
        <v>158.63914373088684</v>
      </c>
      <c r="AQ10" s="349"/>
      <c r="AR10" s="37"/>
    </row>
  </sheetData>
  <sheetProtection password="DE47" sheet="1" objects="1" scenarios="1"/>
  <mergeCells count="2">
    <mergeCell ref="AM7:AM9"/>
    <mergeCell ref="AP7:AP9"/>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B1:L45"/>
  <sheetViews>
    <sheetView showGridLines="0" workbookViewId="0" topLeftCell="A1">
      <selection activeCell="K34" sqref="K34"/>
    </sheetView>
  </sheetViews>
  <sheetFormatPr defaultColWidth="9.140625" defaultRowHeight="12.75" outlineLevelRow="1"/>
  <cols>
    <col min="1" max="1" width="1.7109375" style="527" customWidth="1"/>
    <col min="2" max="2" width="3.421875" style="527" customWidth="1"/>
    <col min="3" max="3" width="34.00390625" style="527" customWidth="1"/>
    <col min="4" max="4" width="12.8515625" style="527" hidden="1" customWidth="1"/>
    <col min="5" max="5" width="10.7109375" style="527" customWidth="1"/>
    <col min="6" max="6" width="11.421875" style="527" customWidth="1"/>
    <col min="7" max="7" width="12.7109375" style="527" hidden="1" customWidth="1"/>
    <col min="8" max="8" width="10.7109375" style="527" customWidth="1"/>
    <col min="10" max="10" width="12.00390625" style="527" customWidth="1"/>
    <col min="11" max="11" width="10.28125" style="533" bestFit="1" customWidth="1"/>
    <col min="12" max="12" width="10.7109375" style="527" customWidth="1"/>
    <col min="13" max="16384" width="9.140625" style="527" customWidth="1"/>
  </cols>
  <sheetData>
    <row r="1" spans="2:12" ht="15.75">
      <c r="B1" s="528"/>
      <c r="C1" s="529"/>
      <c r="D1" s="529"/>
      <c r="E1" s="529"/>
      <c r="F1" s="529"/>
      <c r="G1" s="529"/>
      <c r="H1" s="529"/>
      <c r="I1" s="530"/>
      <c r="J1" s="529"/>
      <c r="K1" s="532"/>
      <c r="L1" s="529"/>
    </row>
    <row r="2" spans="2:12" ht="15.75">
      <c r="B2" s="528" t="s">
        <v>399</v>
      </c>
      <c r="C2" s="529"/>
      <c r="D2" s="529"/>
      <c r="E2" s="529"/>
      <c r="F2" s="529"/>
      <c r="G2" s="529"/>
      <c r="H2" s="529"/>
      <c r="I2" s="530"/>
      <c r="J2" s="529"/>
      <c r="K2" s="532"/>
      <c r="L2" s="529"/>
    </row>
    <row r="3" ht="13.5" thickBot="1"/>
    <row r="4" spans="2:12" ht="77.25" thickBot="1">
      <c r="B4" s="84" t="s">
        <v>1016</v>
      </c>
      <c r="C4" s="86"/>
      <c r="D4" s="8" t="s">
        <v>1017</v>
      </c>
      <c r="E4" s="8" t="s">
        <v>1018</v>
      </c>
      <c r="F4" s="622" t="s">
        <v>348</v>
      </c>
      <c r="G4" s="536" t="s">
        <v>1020</v>
      </c>
      <c r="H4" s="537" t="s">
        <v>383</v>
      </c>
      <c r="I4" s="537" t="s">
        <v>1021</v>
      </c>
      <c r="J4" s="537" t="s">
        <v>384</v>
      </c>
      <c r="K4" s="538" t="s">
        <v>1280</v>
      </c>
      <c r="L4" s="537" t="s">
        <v>891</v>
      </c>
    </row>
    <row r="5" spans="2:12" ht="13.5" thickBot="1">
      <c r="B5" s="539" t="s">
        <v>1023</v>
      </c>
      <c r="C5" s="632" t="s">
        <v>282</v>
      </c>
      <c r="D5" s="633">
        <v>21</v>
      </c>
      <c r="E5" s="633">
        <f>'#1-IOUs'!E6</f>
        <v>149</v>
      </c>
      <c r="F5" s="623">
        <f>'#1-IOUs'!F6</f>
        <v>293.540203</v>
      </c>
      <c r="G5" s="541">
        <v>1219</v>
      </c>
      <c r="H5" s="543">
        <f>'#1-IOUs'!H6</f>
        <v>1254539.282</v>
      </c>
      <c r="I5" s="543">
        <f>'#1-IOUs'!I6</f>
        <v>323.215</v>
      </c>
      <c r="J5" s="544">
        <f>'#1-IOUs'!J6</f>
        <v>0.23398247245955908</v>
      </c>
      <c r="K5" s="545">
        <f>'#1-IOUs'!K6</f>
        <v>908.1886762681188</v>
      </c>
      <c r="L5" s="544">
        <v>0.0291</v>
      </c>
    </row>
    <row r="6" spans="2:12" ht="13.5" thickBot="1">
      <c r="B6" s="546" t="s">
        <v>1025</v>
      </c>
      <c r="C6" s="634" t="s">
        <v>385</v>
      </c>
      <c r="D6" s="633">
        <v>14</v>
      </c>
      <c r="E6" s="633">
        <f>SUM(E7:E10)</f>
        <v>16</v>
      </c>
      <c r="F6" s="624">
        <f>SUM(F7:F10)</f>
        <v>70</v>
      </c>
      <c r="G6" s="541">
        <f>SUM(G7:G10)</f>
        <v>340.22</v>
      </c>
      <c r="H6" s="543">
        <f>SUM(H7:H10)</f>
        <v>266556</v>
      </c>
      <c r="I6" s="543">
        <f>SUM(I7:I10)</f>
        <v>132</v>
      </c>
      <c r="J6" s="547">
        <f aca="true" t="shared" si="0" ref="J6:J17">F6*1000/H6</f>
        <v>0.26260898272783206</v>
      </c>
      <c r="K6" s="545">
        <f aca="true" t="shared" si="1" ref="K6:K14">F6/I6*1000</f>
        <v>530.3030303030303</v>
      </c>
      <c r="L6" s="547">
        <v>0.0302</v>
      </c>
    </row>
    <row r="7" spans="2:12" ht="13.5" hidden="1" outlineLevel="1" thickBot="1">
      <c r="B7" s="539"/>
      <c r="C7" s="635" t="s">
        <v>877</v>
      </c>
      <c r="D7" s="636"/>
      <c r="E7" s="637">
        <v>4</v>
      </c>
      <c r="F7" s="625">
        <v>17</v>
      </c>
      <c r="G7" s="549">
        <v>136</v>
      </c>
      <c r="H7" s="550">
        <v>110050</v>
      </c>
      <c r="I7" s="550">
        <v>26</v>
      </c>
      <c r="J7" s="551">
        <f t="shared" si="0"/>
        <v>0.15447523852794184</v>
      </c>
      <c r="K7" s="552">
        <f t="shared" si="1"/>
        <v>653.8461538461538</v>
      </c>
      <c r="L7" s="551"/>
    </row>
    <row r="8" spans="2:12" ht="13.5" hidden="1" outlineLevel="1" thickBot="1">
      <c r="B8" s="539"/>
      <c r="C8" s="635" t="s">
        <v>878</v>
      </c>
      <c r="D8" s="636"/>
      <c r="E8" s="637">
        <v>3</v>
      </c>
      <c r="F8" s="626">
        <v>42</v>
      </c>
      <c r="G8" s="553">
        <v>114.641</v>
      </c>
      <c r="H8" s="554">
        <v>142497</v>
      </c>
      <c r="I8" s="554">
        <v>95</v>
      </c>
      <c r="J8" s="555">
        <f t="shared" si="0"/>
        <v>0.2947430472220468</v>
      </c>
      <c r="K8" s="556">
        <f t="shared" si="1"/>
        <v>442.10526315789474</v>
      </c>
      <c r="L8" s="555"/>
    </row>
    <row r="9" spans="2:12" ht="13.5" hidden="1" outlineLevel="1" thickBot="1">
      <c r="B9" s="539"/>
      <c r="C9" s="635" t="s">
        <v>879</v>
      </c>
      <c r="D9" s="636"/>
      <c r="E9" s="637">
        <v>3</v>
      </c>
      <c r="F9" s="627">
        <v>10</v>
      </c>
      <c r="G9" s="553">
        <v>14.579</v>
      </c>
      <c r="H9" s="554">
        <v>11781</v>
      </c>
      <c r="I9" s="554">
        <v>9</v>
      </c>
      <c r="J9" s="555">
        <f t="shared" si="0"/>
        <v>0.848824378236143</v>
      </c>
      <c r="K9" s="556">
        <f t="shared" si="1"/>
        <v>1111.111111111111</v>
      </c>
      <c r="L9" s="555"/>
    </row>
    <row r="10" spans="2:12" ht="13.5" hidden="1" outlineLevel="1" thickBot="1">
      <c r="B10" s="539"/>
      <c r="C10" s="635" t="s">
        <v>880</v>
      </c>
      <c r="D10" s="636"/>
      <c r="E10" s="637">
        <v>6</v>
      </c>
      <c r="F10" s="628">
        <v>1</v>
      </c>
      <c r="G10" s="548">
        <v>75</v>
      </c>
      <c r="H10" s="557">
        <v>2228</v>
      </c>
      <c r="I10" s="557">
        <v>2</v>
      </c>
      <c r="J10" s="588">
        <f t="shared" si="0"/>
        <v>0.4488330341113106</v>
      </c>
      <c r="K10" s="558">
        <f t="shared" si="1"/>
        <v>500</v>
      </c>
      <c r="L10" s="588"/>
    </row>
    <row r="11" spans="2:12" ht="13.5" collapsed="1" thickBot="1">
      <c r="B11" s="559" t="s">
        <v>1026</v>
      </c>
      <c r="C11" s="634" t="s">
        <v>871</v>
      </c>
      <c r="D11" s="633">
        <v>8</v>
      </c>
      <c r="E11" s="633">
        <v>8</v>
      </c>
      <c r="F11" s="624">
        <v>18.654</v>
      </c>
      <c r="G11" s="541" t="s">
        <v>982</v>
      </c>
      <c r="H11" s="543">
        <v>124766</v>
      </c>
      <c r="I11" s="543">
        <v>61.4</v>
      </c>
      <c r="J11" s="544">
        <f t="shared" si="0"/>
        <v>0.149511886251062</v>
      </c>
      <c r="K11" s="545">
        <f t="shared" si="1"/>
        <v>303.8110749185668</v>
      </c>
      <c r="L11" s="544">
        <v>0.0168</v>
      </c>
    </row>
    <row r="12" spans="2:12" ht="13.5" thickBot="1">
      <c r="B12" s="546" t="s">
        <v>1027</v>
      </c>
      <c r="C12" s="638" t="s">
        <v>872</v>
      </c>
      <c r="D12" s="633">
        <v>26</v>
      </c>
      <c r="E12" s="639">
        <f>SUM(E13:E14)</f>
        <v>31</v>
      </c>
      <c r="F12" s="624">
        <f>SUM(F13:F14)</f>
        <v>30</v>
      </c>
      <c r="G12" s="541" t="s">
        <v>982</v>
      </c>
      <c r="H12" s="560">
        <f>SUM(H13:H14)</f>
        <v>60660</v>
      </c>
      <c r="I12" s="560">
        <f>SUM(I13:I14)</f>
        <v>104</v>
      </c>
      <c r="J12" s="544">
        <f t="shared" si="0"/>
        <v>0.49455984174085066</v>
      </c>
      <c r="K12" s="545">
        <f t="shared" si="1"/>
        <v>288.46153846153845</v>
      </c>
      <c r="L12" s="544">
        <v>0.0604</v>
      </c>
    </row>
    <row r="13" spans="2:12" ht="13.5" hidden="1" outlineLevel="1" thickBot="1">
      <c r="B13" s="539"/>
      <c r="C13" s="635" t="s">
        <v>1028</v>
      </c>
      <c r="D13" s="637">
        <v>19</v>
      </c>
      <c r="E13" s="637">
        <v>8</v>
      </c>
      <c r="F13" s="629">
        <v>19</v>
      </c>
      <c r="G13" s="549" t="s">
        <v>982</v>
      </c>
      <c r="H13" s="550">
        <v>13216</v>
      </c>
      <c r="I13" s="550">
        <v>88</v>
      </c>
      <c r="J13" s="561">
        <f t="shared" si="0"/>
        <v>1.4376513317191284</v>
      </c>
      <c r="K13" s="552">
        <f t="shared" si="1"/>
        <v>215.9090909090909</v>
      </c>
      <c r="L13" s="561">
        <f>H13*1000/J13</f>
        <v>9192771.368421052</v>
      </c>
    </row>
    <row r="14" spans="2:12" ht="13.5" hidden="1" outlineLevel="1" thickBot="1">
      <c r="B14" s="562"/>
      <c r="C14" s="640" t="s">
        <v>1029</v>
      </c>
      <c r="D14" s="641">
        <v>7</v>
      </c>
      <c r="E14" s="641">
        <v>23</v>
      </c>
      <c r="F14" s="630">
        <v>11</v>
      </c>
      <c r="G14" s="563" t="s">
        <v>982</v>
      </c>
      <c r="H14" s="564">
        <v>47444</v>
      </c>
      <c r="I14" s="564">
        <v>16</v>
      </c>
      <c r="J14" s="565">
        <f t="shared" si="0"/>
        <v>0.23185228901441698</v>
      </c>
      <c r="K14" s="558">
        <f t="shared" si="1"/>
        <v>687.5</v>
      </c>
      <c r="L14" s="565">
        <f>H14*1000/J14</f>
        <v>204630285.0909091</v>
      </c>
    </row>
    <row r="15" spans="2:12" ht="13.5" collapsed="1" thickBot="1">
      <c r="B15" s="546" t="s">
        <v>1030</v>
      </c>
      <c r="C15" s="634" t="s">
        <v>873</v>
      </c>
      <c r="D15" s="633">
        <v>2</v>
      </c>
      <c r="E15" s="633">
        <f>SUM(E16:E17)</f>
        <v>10</v>
      </c>
      <c r="F15" s="624">
        <f>SUM(F16:F17)</f>
        <v>5.445</v>
      </c>
      <c r="G15" s="541" t="s">
        <v>982</v>
      </c>
      <c r="H15" s="543">
        <f>SUM(H16:H17)</f>
        <v>663</v>
      </c>
      <c r="I15" s="543">
        <v>0</v>
      </c>
      <c r="J15" s="544">
        <f t="shared" si="0"/>
        <v>8.212669683257918</v>
      </c>
      <c r="K15" s="566" t="s">
        <v>1324</v>
      </c>
      <c r="L15" s="544">
        <v>1.0387</v>
      </c>
    </row>
    <row r="16" spans="2:12" ht="13.5" hidden="1" outlineLevel="1" thickBot="1">
      <c r="B16" s="539"/>
      <c r="C16" s="635" t="s">
        <v>1031</v>
      </c>
      <c r="D16" s="637">
        <v>1</v>
      </c>
      <c r="E16" s="617">
        <v>8</v>
      </c>
      <c r="F16" s="629">
        <v>0.045</v>
      </c>
      <c r="G16" s="549" t="s">
        <v>982</v>
      </c>
      <c r="H16" s="550">
        <v>449</v>
      </c>
      <c r="I16" s="567">
        <v>0</v>
      </c>
      <c r="J16" s="561">
        <f t="shared" si="0"/>
        <v>0.10022271714922049</v>
      </c>
      <c r="K16" s="568" t="s">
        <v>1324</v>
      </c>
      <c r="L16" s="561">
        <f>H16*1000/J16</f>
        <v>4480022.222222222</v>
      </c>
    </row>
    <row r="17" spans="2:12" ht="13.5" hidden="1" outlineLevel="1" thickBot="1">
      <c r="B17" s="562"/>
      <c r="C17" s="640" t="s">
        <v>1032</v>
      </c>
      <c r="D17" s="641">
        <v>1</v>
      </c>
      <c r="E17" s="641">
        <v>2</v>
      </c>
      <c r="F17" s="630">
        <v>5.4</v>
      </c>
      <c r="G17" s="563" t="s">
        <v>982</v>
      </c>
      <c r="H17" s="564">
        <v>214</v>
      </c>
      <c r="I17" s="569">
        <v>0</v>
      </c>
      <c r="J17" s="565">
        <f t="shared" si="0"/>
        <v>25.233644859813083</v>
      </c>
      <c r="K17" s="570" t="s">
        <v>1324</v>
      </c>
      <c r="L17" s="565">
        <f>H17*1000/J17</f>
        <v>8480.74074074074</v>
      </c>
    </row>
    <row r="18" spans="2:12" ht="13.5" collapsed="1" thickBot="1">
      <c r="B18" s="559" t="s">
        <v>1033</v>
      </c>
      <c r="C18" s="634" t="s">
        <v>874</v>
      </c>
      <c r="D18" s="633" t="s">
        <v>982</v>
      </c>
      <c r="E18" s="633">
        <v>2</v>
      </c>
      <c r="F18" s="624">
        <v>60</v>
      </c>
      <c r="G18" s="541" t="s">
        <v>982</v>
      </c>
      <c r="H18" s="543" t="s">
        <v>1324</v>
      </c>
      <c r="I18" s="543">
        <f>30+122</f>
        <v>152</v>
      </c>
      <c r="J18" s="544" t="s">
        <v>1324</v>
      </c>
      <c r="K18" s="545">
        <f>F18/I18*1000</f>
        <v>394.7368421052632</v>
      </c>
      <c r="L18" s="544" t="s">
        <v>1324</v>
      </c>
    </row>
    <row r="19" spans="2:12" ht="13.5" thickBot="1">
      <c r="B19" s="546" t="s">
        <v>1374</v>
      </c>
      <c r="C19" s="634" t="s">
        <v>885</v>
      </c>
      <c r="D19" s="633"/>
      <c r="E19" s="633">
        <f>SUM(E20:E21)</f>
        <v>2</v>
      </c>
      <c r="F19" s="624">
        <f>SUM(F20:F21)</f>
        <v>415</v>
      </c>
      <c r="G19" s="541"/>
      <c r="H19" s="543">
        <f>SUM(H20:H21)</f>
        <v>3053000</v>
      </c>
      <c r="I19" s="543">
        <f>SUM(I20)</f>
        <v>2616</v>
      </c>
      <c r="J19" s="544">
        <f>F19*1000/H19</f>
        <v>0.13593187029151654</v>
      </c>
      <c r="K19" s="545">
        <f>F19/I19*1000</f>
        <v>158.63914373088687</v>
      </c>
      <c r="L19" s="544">
        <v>0.0506</v>
      </c>
    </row>
    <row r="20" spans="2:12" ht="13.5" thickBot="1">
      <c r="B20" s="539"/>
      <c r="C20" s="635" t="s">
        <v>886</v>
      </c>
      <c r="D20" s="633"/>
      <c r="E20" s="617">
        <v>1</v>
      </c>
      <c r="F20" s="629">
        <v>350</v>
      </c>
      <c r="G20" s="617"/>
      <c r="H20" s="617">
        <v>3053000</v>
      </c>
      <c r="I20" s="653">
        <v>2616</v>
      </c>
      <c r="J20" s="551">
        <f>F20*1000/H20</f>
        <v>0.11464133639043564</v>
      </c>
      <c r="K20" s="655">
        <f>(F20+F21)/I20*1000</f>
        <v>158.63914373088687</v>
      </c>
      <c r="L20" s="615">
        <v>0.0398</v>
      </c>
    </row>
    <row r="21" spans="2:12" ht="13.5" thickBot="1">
      <c r="B21" s="562"/>
      <c r="C21" s="640" t="s">
        <v>887</v>
      </c>
      <c r="D21" s="633"/>
      <c r="E21" s="618">
        <v>1</v>
      </c>
      <c r="F21" s="631">
        <v>65</v>
      </c>
      <c r="G21" s="618"/>
      <c r="H21" s="618" t="s">
        <v>1324</v>
      </c>
      <c r="I21" s="654"/>
      <c r="J21" s="614" t="s">
        <v>1324</v>
      </c>
      <c r="K21" s="656"/>
      <c r="L21" s="616" t="s">
        <v>1324</v>
      </c>
    </row>
    <row r="22" spans="2:12" ht="13.5" thickBot="1">
      <c r="B22" s="571"/>
      <c r="C22" s="620" t="s">
        <v>779</v>
      </c>
      <c r="D22" s="621">
        <f>D5+D6+D11+D12+D15</f>
        <v>71</v>
      </c>
      <c r="E22" s="621">
        <f>E5+E6+E11+E12+E15+E18+E19</f>
        <v>218</v>
      </c>
      <c r="F22" s="621">
        <f>F5+F6+F11+F12+F15+F18+F19</f>
        <v>892.639203</v>
      </c>
      <c r="G22" s="621" t="e">
        <f>G5+G6+G11+G12+G15+G18+G19</f>
        <v>#VALUE!</v>
      </c>
      <c r="H22" s="621">
        <f>H5+H6+H11+H12+H15+H19</f>
        <v>4760184.282</v>
      </c>
      <c r="I22" s="621">
        <f>I5+I6+I11+I12+I15+I18+I19</f>
        <v>3388.615</v>
      </c>
      <c r="J22" s="572">
        <f>F22*1000/H22</f>
        <v>0.1875219844692559</v>
      </c>
      <c r="K22" s="573">
        <f>F22/I22*1000</f>
        <v>263.4230217950402</v>
      </c>
      <c r="L22" s="642">
        <v>0.0312</v>
      </c>
    </row>
    <row r="23" spans="2:11" s="574" customFormat="1" ht="12.75">
      <c r="B23" s="575"/>
      <c r="C23" s="576"/>
      <c r="D23" s="577"/>
      <c r="E23" s="577"/>
      <c r="F23" s="578"/>
      <c r="G23" s="577"/>
      <c r="H23" s="577"/>
      <c r="I23" s="577"/>
      <c r="J23" s="579"/>
      <c r="K23" s="580"/>
    </row>
    <row r="24" spans="2:9" ht="12.75">
      <c r="B24" s="527" t="s">
        <v>1034</v>
      </c>
      <c r="D24" s="581"/>
      <c r="E24" s="581"/>
      <c r="G24" s="581"/>
      <c r="H24" s="581"/>
      <c r="I24" s="619"/>
    </row>
    <row r="25" spans="2:8" ht="12.75">
      <c r="B25" s="527" t="s">
        <v>1035</v>
      </c>
      <c r="C25" s="527" t="s">
        <v>914</v>
      </c>
      <c r="D25" s="581"/>
      <c r="E25" s="581"/>
      <c r="G25" s="581"/>
      <c r="H25" s="581"/>
    </row>
    <row r="26" spans="2:3" ht="12.75" hidden="1" outlineLevel="1">
      <c r="B26" s="527" t="s">
        <v>881</v>
      </c>
      <c r="C26" s="582" t="s">
        <v>1036</v>
      </c>
    </row>
    <row r="27" spans="2:3" ht="12.75" hidden="1" outlineLevel="1">
      <c r="B27" s="527" t="s">
        <v>882</v>
      </c>
      <c r="C27" s="582" t="s">
        <v>1038</v>
      </c>
    </row>
    <row r="28" spans="2:3" ht="12.75" hidden="1" outlineLevel="1">
      <c r="B28" s="527" t="s">
        <v>883</v>
      </c>
      <c r="C28" s="582" t="s">
        <v>1040</v>
      </c>
    </row>
    <row r="29" spans="2:3" ht="12.75" hidden="1" outlineLevel="1">
      <c r="B29" s="527" t="s">
        <v>884</v>
      </c>
      <c r="C29" s="582" t="s">
        <v>1042</v>
      </c>
    </row>
    <row r="30" spans="2:3" ht="12.75" collapsed="1">
      <c r="B30" s="527" t="s">
        <v>1037</v>
      </c>
      <c r="C30" s="582" t="s">
        <v>890</v>
      </c>
    </row>
    <row r="31" ht="12.75">
      <c r="C31" s="582" t="s">
        <v>375</v>
      </c>
    </row>
    <row r="32" spans="2:3" ht="12.75">
      <c r="B32" s="527" t="s">
        <v>1039</v>
      </c>
      <c r="C32" s="582" t="s">
        <v>279</v>
      </c>
    </row>
    <row r="33" spans="2:3" ht="12.75">
      <c r="B33" s="527" t="s">
        <v>1041</v>
      </c>
      <c r="C33" s="582" t="s">
        <v>349</v>
      </c>
    </row>
    <row r="34" spans="2:3" ht="12.75">
      <c r="B34" s="527" t="s">
        <v>1043</v>
      </c>
      <c r="C34" s="582" t="s">
        <v>875</v>
      </c>
    </row>
    <row r="35" ht="12.75">
      <c r="C35" s="582" t="s">
        <v>876</v>
      </c>
    </row>
    <row r="36" spans="2:3" ht="12.75">
      <c r="B36" s="527" t="s">
        <v>1049</v>
      </c>
      <c r="C36" s="582" t="s">
        <v>915</v>
      </c>
    </row>
    <row r="37" ht="12.75">
      <c r="C37" s="582" t="s">
        <v>916</v>
      </c>
    </row>
    <row r="38" spans="2:3" ht="12.75">
      <c r="B38" s="527" t="s">
        <v>280</v>
      </c>
      <c r="C38" s="582" t="s">
        <v>917</v>
      </c>
    </row>
    <row r="39" ht="12.75">
      <c r="C39" s="582" t="s">
        <v>918</v>
      </c>
    </row>
    <row r="40" spans="2:3" ht="12.75">
      <c r="B40" s="527" t="s">
        <v>281</v>
      </c>
      <c r="C40" s="582" t="s">
        <v>888</v>
      </c>
    </row>
    <row r="41" spans="2:3" ht="12.75">
      <c r="B41" s="527" t="s">
        <v>889</v>
      </c>
      <c r="C41" s="582" t="s">
        <v>919</v>
      </c>
    </row>
    <row r="43" ht="12.75">
      <c r="C43" s="582"/>
    </row>
    <row r="44" ht="12.75">
      <c r="C44" s="582"/>
    </row>
    <row r="45" ht="12.75">
      <c r="C45" s="582"/>
    </row>
  </sheetData>
  <sheetProtection password="DE47" sheet="1" objects="1" scenarios="1"/>
  <mergeCells count="2">
    <mergeCell ref="I20:I21"/>
    <mergeCell ref="K20:K2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B1:K22"/>
  <sheetViews>
    <sheetView showGridLines="0" workbookViewId="0" topLeftCell="A1">
      <selection activeCell="C21" sqref="C21"/>
    </sheetView>
  </sheetViews>
  <sheetFormatPr defaultColWidth="9.140625" defaultRowHeight="12.75" outlineLevelRow="1"/>
  <cols>
    <col min="1" max="1" width="1.7109375" style="527" customWidth="1"/>
    <col min="2" max="2" width="3.421875" style="527" customWidth="1"/>
    <col min="3" max="3" width="33.421875" style="527" customWidth="1"/>
    <col min="4" max="4" width="12.8515625" style="527" hidden="1" customWidth="1"/>
    <col min="5" max="5" width="10.7109375" style="527" customWidth="1"/>
    <col min="6" max="6" width="11.421875" style="527" customWidth="1"/>
    <col min="7" max="7" width="12.7109375" style="527" hidden="1" customWidth="1"/>
    <col min="8" max="8" width="10.7109375" style="527" customWidth="1"/>
    <col min="9" max="9" width="9.28125" style="0" bestFit="1" customWidth="1"/>
    <col min="10" max="10" width="12.00390625" style="527" customWidth="1"/>
    <col min="11" max="11" width="10.28125" style="533" bestFit="1" customWidth="1"/>
    <col min="12" max="16384" width="9.140625" style="527" customWidth="1"/>
  </cols>
  <sheetData>
    <row r="1" spans="2:11" ht="15.75">
      <c r="B1" s="528"/>
      <c r="C1" s="529"/>
      <c r="D1" s="529"/>
      <c r="E1" s="529"/>
      <c r="F1" s="529"/>
      <c r="G1" s="529"/>
      <c r="H1" s="529"/>
      <c r="I1" s="530"/>
      <c r="J1" s="529"/>
      <c r="K1" s="532"/>
    </row>
    <row r="2" spans="2:11" ht="15.75">
      <c r="B2" s="528"/>
      <c r="C2" s="529"/>
      <c r="D2" s="529"/>
      <c r="E2" s="529"/>
      <c r="F2" s="529"/>
      <c r="G2" s="529"/>
      <c r="H2" s="529"/>
      <c r="I2" s="530"/>
      <c r="J2" s="529"/>
      <c r="K2" s="532"/>
    </row>
    <row r="3" spans="2:11" ht="15.75">
      <c r="B3" s="528"/>
      <c r="C3" s="529"/>
      <c r="D3" s="529"/>
      <c r="E3" s="529"/>
      <c r="F3" s="529"/>
      <c r="G3" s="529"/>
      <c r="H3" s="529"/>
      <c r="I3" s="530"/>
      <c r="J3" s="529"/>
      <c r="K3" s="532"/>
    </row>
    <row r="4" ht="13.5" thickBot="1"/>
    <row r="5" spans="2:11" ht="64.5" thickBot="1">
      <c r="B5" s="534" t="s">
        <v>1016</v>
      </c>
      <c r="C5" s="535"/>
      <c r="D5" s="536" t="s">
        <v>1017</v>
      </c>
      <c r="E5" s="536" t="s">
        <v>1018</v>
      </c>
      <c r="F5" s="537" t="s">
        <v>1019</v>
      </c>
      <c r="G5" s="536" t="s">
        <v>1020</v>
      </c>
      <c r="H5" s="537" t="s">
        <v>233</v>
      </c>
      <c r="I5" s="537" t="s">
        <v>1021</v>
      </c>
      <c r="J5" s="537" t="s">
        <v>1022</v>
      </c>
      <c r="K5" s="538" t="s">
        <v>1022</v>
      </c>
    </row>
    <row r="6" spans="2:11" ht="13.5" thickBot="1">
      <c r="B6" s="539" t="s">
        <v>1023</v>
      </c>
      <c r="C6" s="540" t="s">
        <v>1024</v>
      </c>
      <c r="D6" s="541">
        <v>21</v>
      </c>
      <c r="E6" s="541">
        <f>SUM(E7:E21)</f>
        <v>149</v>
      </c>
      <c r="F6" s="542">
        <f>SUM(F7:F21)</f>
        <v>293.540203</v>
      </c>
      <c r="G6" s="541">
        <v>1219</v>
      </c>
      <c r="H6" s="543">
        <f>SUM(H7:H21)</f>
        <v>1254539.282</v>
      </c>
      <c r="I6" s="543">
        <f>SUM(I7:I21)</f>
        <v>323.215</v>
      </c>
      <c r="J6" s="544">
        <f>F6/H6*1000</f>
        <v>0.23398247245955908</v>
      </c>
      <c r="K6" s="545">
        <f>F6/I6*1000</f>
        <v>908.1886762681188</v>
      </c>
    </row>
    <row r="7" spans="3:10" ht="12.75">
      <c r="C7" s="527" t="s">
        <v>842</v>
      </c>
      <c r="D7" s="581"/>
      <c r="E7" s="581">
        <v>41</v>
      </c>
      <c r="F7" s="531">
        <f>'PG&amp;E'!AI51/1000</f>
        <v>145.591</v>
      </c>
      <c r="G7" s="581"/>
      <c r="H7" s="584">
        <f>'PG&amp;E'!AM51</f>
        <v>627918</v>
      </c>
      <c r="I7" s="586">
        <f>'PG&amp;E'!AN51</f>
        <v>158.63</v>
      </c>
      <c r="J7" s="589">
        <f>F7*1000/H7</f>
        <v>0.23186307766300696</v>
      </c>
    </row>
    <row r="8" spans="2:10" ht="12.75" hidden="1" outlineLevel="1">
      <c r="B8" s="527" t="s">
        <v>1035</v>
      </c>
      <c r="C8" s="582" t="s">
        <v>1036</v>
      </c>
      <c r="E8" s="581"/>
      <c r="F8" s="531"/>
      <c r="H8" s="531"/>
      <c r="I8" s="586"/>
      <c r="J8" s="589" t="e">
        <f aca="true" t="shared" si="0" ref="J8:J21">F8*1000/H8</f>
        <v>#DIV/0!</v>
      </c>
    </row>
    <row r="9" spans="2:10" ht="12.75" hidden="1" outlineLevel="1">
      <c r="B9" s="527" t="s">
        <v>1037</v>
      </c>
      <c r="C9" s="582" t="s">
        <v>1038</v>
      </c>
      <c r="E9" s="581"/>
      <c r="F9" s="531"/>
      <c r="H9" s="531"/>
      <c r="I9" s="586"/>
      <c r="J9" s="589" t="e">
        <f t="shared" si="0"/>
        <v>#DIV/0!</v>
      </c>
    </row>
    <row r="10" spans="2:10" ht="12.75" hidden="1" outlineLevel="1">
      <c r="B10" s="527" t="s">
        <v>1039</v>
      </c>
      <c r="C10" s="582" t="s">
        <v>1040</v>
      </c>
      <c r="E10" s="581"/>
      <c r="F10" s="531"/>
      <c r="H10" s="531"/>
      <c r="I10" s="586"/>
      <c r="J10" s="589" t="e">
        <f t="shared" si="0"/>
        <v>#DIV/0!</v>
      </c>
    </row>
    <row r="11" spans="2:10" ht="12.75" hidden="1" outlineLevel="1">
      <c r="B11" s="527" t="s">
        <v>1041</v>
      </c>
      <c r="C11" s="582" t="s">
        <v>1042</v>
      </c>
      <c r="E11" s="581"/>
      <c r="F11" s="531"/>
      <c r="H11" s="531"/>
      <c r="I11" s="586"/>
      <c r="J11" s="589" t="e">
        <f t="shared" si="0"/>
        <v>#DIV/0!</v>
      </c>
    </row>
    <row r="12" spans="2:10" ht="12.75" hidden="1" outlineLevel="1">
      <c r="B12" s="527" t="s">
        <v>1043</v>
      </c>
      <c r="C12" s="582" t="s">
        <v>1044</v>
      </c>
      <c r="E12" s="581"/>
      <c r="F12" s="531"/>
      <c r="H12" s="531"/>
      <c r="I12" s="586"/>
      <c r="J12" s="589" t="e">
        <f t="shared" si="0"/>
        <v>#DIV/0!</v>
      </c>
    </row>
    <row r="13" spans="3:10" ht="12.75" hidden="1" outlineLevel="1">
      <c r="C13" s="582" t="s">
        <v>1045</v>
      </c>
      <c r="E13" s="581"/>
      <c r="F13" s="531"/>
      <c r="H13" s="531"/>
      <c r="I13" s="586"/>
      <c r="J13" s="589" t="e">
        <f t="shared" si="0"/>
        <v>#DIV/0!</v>
      </c>
    </row>
    <row r="14" spans="3:10" ht="12.75" hidden="1" outlineLevel="1">
      <c r="C14" s="582" t="s">
        <v>1046</v>
      </c>
      <c r="E14" s="581"/>
      <c r="F14" s="531"/>
      <c r="H14" s="531"/>
      <c r="I14" s="586"/>
      <c r="J14" s="589" t="e">
        <f t="shared" si="0"/>
        <v>#DIV/0!</v>
      </c>
    </row>
    <row r="15" spans="3:10" ht="12.75" hidden="1" outlineLevel="1">
      <c r="C15" s="582" t="s">
        <v>1047</v>
      </c>
      <c r="E15" s="581"/>
      <c r="F15" s="531"/>
      <c r="H15" s="531"/>
      <c r="I15" s="586"/>
      <c r="J15" s="589" t="e">
        <f t="shared" si="0"/>
        <v>#DIV/0!</v>
      </c>
    </row>
    <row r="16" spans="3:10" ht="12.75" hidden="1" outlineLevel="1">
      <c r="C16" s="582" t="s">
        <v>1048</v>
      </c>
      <c r="E16" s="581"/>
      <c r="F16" s="531"/>
      <c r="H16" s="531"/>
      <c r="I16" s="586"/>
      <c r="J16" s="589" t="e">
        <f t="shared" si="0"/>
        <v>#DIV/0!</v>
      </c>
    </row>
    <row r="17" spans="2:10" ht="12.75" hidden="1" outlineLevel="1">
      <c r="B17" s="527" t="s">
        <v>1049</v>
      </c>
      <c r="C17" s="582" t="s">
        <v>1050</v>
      </c>
      <c r="E17" s="581"/>
      <c r="F17" s="531"/>
      <c r="H17" s="531"/>
      <c r="I17" s="586"/>
      <c r="J17" s="589" t="e">
        <f t="shared" si="0"/>
        <v>#DIV/0!</v>
      </c>
    </row>
    <row r="18" spans="5:10" ht="12.75" hidden="1" outlineLevel="1">
      <c r="E18" s="581"/>
      <c r="F18" s="531"/>
      <c r="H18" s="531"/>
      <c r="I18" s="586"/>
      <c r="J18" s="589" t="e">
        <f t="shared" si="0"/>
        <v>#DIV/0!</v>
      </c>
    </row>
    <row r="19" spans="3:10" ht="12.75" collapsed="1">
      <c r="C19" s="527" t="s">
        <v>1310</v>
      </c>
      <c r="E19" s="581">
        <v>31</v>
      </c>
      <c r="F19" s="531">
        <f>SCE!AI41/1000</f>
        <v>77.30400900000001</v>
      </c>
      <c r="H19" s="531">
        <f>SCE!AM41</f>
        <v>462575</v>
      </c>
      <c r="I19" s="586">
        <f>SCE!AN41</f>
        <v>124.5</v>
      </c>
      <c r="J19" s="589">
        <f t="shared" si="0"/>
        <v>0.16711670323731287</v>
      </c>
    </row>
    <row r="20" spans="3:10" ht="12.75">
      <c r="C20" s="527" t="s">
        <v>164</v>
      </c>
      <c r="E20" s="581">
        <v>46</v>
      </c>
      <c r="F20" s="531">
        <f>'SDG&amp;E'!AI56/1000</f>
        <v>41.618194</v>
      </c>
      <c r="H20" s="531">
        <f>'SDG&amp;E'!AM56</f>
        <v>149361</v>
      </c>
      <c r="I20" s="586">
        <f>'SDG&amp;E'!AN56</f>
        <v>31.080000000000005</v>
      </c>
      <c r="J20" s="589">
        <f t="shared" si="0"/>
        <v>0.2786416400532937</v>
      </c>
    </row>
    <row r="21" spans="3:10" ht="12.75">
      <c r="C21" s="527" t="s">
        <v>211</v>
      </c>
      <c r="E21" s="581">
        <v>31</v>
      </c>
      <c r="F21" s="531">
        <f>SoCalGas!AH41/1000</f>
        <v>29.027</v>
      </c>
      <c r="H21" s="531">
        <f>SoCalGas!AL41</f>
        <v>14685.282</v>
      </c>
      <c r="I21" s="586">
        <f>SoCalGas!AM41</f>
        <v>9.004999999999999</v>
      </c>
      <c r="J21" s="589">
        <f t="shared" si="0"/>
        <v>1.976604875548185</v>
      </c>
    </row>
    <row r="22" spans="6:9" ht="12.75">
      <c r="F22" s="585"/>
      <c r="H22" s="585"/>
      <c r="I22" s="586"/>
    </row>
  </sheetData>
  <sheetProtection password="DE4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pageSetUpPr fitToPage="1"/>
  </sheetPr>
  <dimension ref="A1:AV55"/>
  <sheetViews>
    <sheetView showGridLines="0" zoomScale="75" zoomScaleNormal="75" zoomScaleSheetLayoutView="50" workbookViewId="0" topLeftCell="A1">
      <pane xSplit="5" ySplit="5" topLeftCell="F34" activePane="bottomRight" state="frozen"/>
      <selection pane="topLeft" activeCell="D35" sqref="D35"/>
      <selection pane="topRight" activeCell="D35" sqref="D35"/>
      <selection pane="bottomLeft" activeCell="D35" sqref="D35"/>
      <selection pane="bottomRight" activeCell="D4" sqref="D4"/>
    </sheetView>
  </sheetViews>
  <sheetFormatPr defaultColWidth="9.140625" defaultRowHeight="12.75" outlineLevelCol="2"/>
  <cols>
    <col min="1" max="1" width="9.28125" style="31" customWidth="1"/>
    <col min="2" max="2" width="17.00390625" style="31" customWidth="1"/>
    <col min="3" max="3" width="12.8515625" style="31" customWidth="1"/>
    <col min="4" max="4" width="30.421875" style="31" customWidth="1"/>
    <col min="5" max="5" width="30.8515625" style="31" customWidth="1" outlineLevel="2"/>
    <col min="6" max="10" width="3.7109375" style="31" customWidth="1" outlineLevel="1"/>
    <col min="11" max="11" width="11.421875" style="31" hidden="1" customWidth="1" outlineLevel="2"/>
    <col min="12" max="22" width="9.140625" style="31" hidden="1" customWidth="1" outlineLevel="2"/>
    <col min="23" max="23" width="6.421875" style="31" hidden="1" customWidth="1" outlineLevel="2"/>
    <col min="24" max="24" width="11.8515625" style="31" hidden="1" customWidth="1" outlineLevel="2"/>
    <col min="25" max="25" width="9.140625" style="31" hidden="1" customWidth="1" outlineLevel="2"/>
    <col min="26" max="26" width="8.28125" style="31" hidden="1" customWidth="1" outlineLevel="2"/>
    <col min="27" max="27" width="7.421875" style="31" hidden="1" customWidth="1" outlineLevel="2"/>
    <col min="28" max="28" width="5.7109375" style="31" hidden="1" customWidth="1" outlineLevel="2"/>
    <col min="29" max="29" width="5.00390625" style="31" hidden="1" customWidth="1" outlineLevel="2"/>
    <col min="30" max="30" width="10.7109375" style="355" customWidth="1" outlineLevel="1" collapsed="1"/>
    <col min="31" max="32" width="10.7109375" style="355" customWidth="1" outlineLevel="1"/>
    <col min="33" max="33" width="10.7109375" style="355" customWidth="1" outlineLevel="1" collapsed="1"/>
    <col min="34" max="34" width="10.7109375" style="355" customWidth="1" outlineLevel="1"/>
    <col min="35" max="35" width="10.7109375" style="355" customWidth="1"/>
    <col min="36" max="36" width="12.00390625" style="355" hidden="1" customWidth="1" outlineLevel="1"/>
    <col min="37" max="37" width="11.421875" style="31" hidden="1" customWidth="1" outlineLevel="1"/>
    <col min="38" max="38" width="10.57421875" style="355" hidden="1" customWidth="1" outlineLevel="1"/>
    <col min="39" max="39" width="13.57421875" style="355" bestFit="1" customWidth="1" collapsed="1"/>
    <col min="40" max="40" width="12.57421875" style="82" bestFit="1" customWidth="1"/>
    <col min="41" max="41" width="11.57421875" style="355" bestFit="1" customWidth="1"/>
    <col min="42" max="42" width="10.140625" style="31" bestFit="1" customWidth="1"/>
    <col min="43" max="43" width="11.57421875" style="226" customWidth="1"/>
    <col min="44" max="44" width="9.140625" style="226" customWidth="1"/>
    <col min="45" max="45" width="36.7109375" style="31" hidden="1" customWidth="1" outlineLevel="1"/>
    <col min="46" max="46" width="9.140625" style="31" customWidth="1" collapsed="1"/>
    <col min="47" max="16384" width="9.140625" style="31" customWidth="1"/>
  </cols>
  <sheetData>
    <row r="1" spans="2:30" ht="15.75">
      <c r="B1" s="80" t="s">
        <v>141</v>
      </c>
      <c r="AD1" s="354"/>
    </row>
    <row r="2" ht="16.5" thickBot="1">
      <c r="B2" s="122" t="s">
        <v>136</v>
      </c>
    </row>
    <row r="3" spans="6:29" ht="13.5" thickBot="1">
      <c r="F3" s="83"/>
      <c r="G3" s="83"/>
      <c r="H3" s="83"/>
      <c r="I3" s="83"/>
      <c r="J3" s="83"/>
      <c r="K3" s="84" t="s">
        <v>36</v>
      </c>
      <c r="L3" s="85"/>
      <c r="M3" s="85"/>
      <c r="N3" s="85"/>
      <c r="O3" s="85"/>
      <c r="P3" s="85"/>
      <c r="Q3" s="85"/>
      <c r="R3" s="85"/>
      <c r="S3" s="85"/>
      <c r="T3" s="85"/>
      <c r="U3" s="85"/>
      <c r="V3" s="85"/>
      <c r="W3" s="85"/>
      <c r="X3" s="85"/>
      <c r="Y3" s="86"/>
      <c r="Z3" s="87"/>
      <c r="AA3" s="88"/>
      <c r="AB3" s="88"/>
      <c r="AC3" s="89"/>
    </row>
    <row r="4" spans="6:45" ht="64.5" customHeight="1" thickBot="1">
      <c r="F4" s="61" t="s">
        <v>33</v>
      </c>
      <c r="G4" s="62"/>
      <c r="H4" s="62"/>
      <c r="I4" s="62"/>
      <c r="J4" s="63"/>
      <c r="K4" s="61" t="s">
        <v>679</v>
      </c>
      <c r="L4" s="85"/>
      <c r="M4" s="86"/>
      <c r="N4" s="85" t="s">
        <v>677</v>
      </c>
      <c r="O4" s="85"/>
      <c r="P4" s="86"/>
      <c r="Q4" s="90" t="s">
        <v>680</v>
      </c>
      <c r="R4" s="90"/>
      <c r="S4" s="91"/>
      <c r="T4" s="85" t="s">
        <v>675</v>
      </c>
      <c r="U4" s="85"/>
      <c r="V4" s="86"/>
      <c r="W4" s="85" t="s">
        <v>1197</v>
      </c>
      <c r="X4" s="86"/>
      <c r="Y4" s="92"/>
      <c r="Z4" s="93" t="s">
        <v>34</v>
      </c>
      <c r="AA4" s="94"/>
      <c r="AB4" s="94"/>
      <c r="AC4" s="95"/>
      <c r="AD4" s="356" t="s">
        <v>956</v>
      </c>
      <c r="AE4" s="356"/>
      <c r="AF4" s="356"/>
      <c r="AG4" s="356" t="s">
        <v>1284</v>
      </c>
      <c r="AH4" s="356"/>
      <c r="AI4" s="356"/>
      <c r="AJ4" s="360" t="s">
        <v>1081</v>
      </c>
      <c r="AK4" s="35"/>
      <c r="AL4" s="360"/>
      <c r="AM4" s="360" t="s">
        <v>346</v>
      </c>
      <c r="AN4" s="55"/>
      <c r="AO4" s="360"/>
      <c r="AP4" s="35" t="s">
        <v>662</v>
      </c>
      <c r="AQ4" s="447"/>
      <c r="AR4" s="447"/>
      <c r="AS4" s="657" t="s">
        <v>732</v>
      </c>
    </row>
    <row r="5" spans="2:45" ht="102" customHeight="1" thickBot="1">
      <c r="B5" s="96" t="s">
        <v>835</v>
      </c>
      <c r="C5" s="96" t="s">
        <v>834</v>
      </c>
      <c r="D5" s="96" t="s">
        <v>836</v>
      </c>
      <c r="E5" s="96" t="s">
        <v>731</v>
      </c>
      <c r="F5" s="11" t="s">
        <v>28</v>
      </c>
      <c r="G5" s="12" t="s">
        <v>29</v>
      </c>
      <c r="H5" s="12" t="s">
        <v>30</v>
      </c>
      <c r="I5" s="12" t="s">
        <v>31</v>
      </c>
      <c r="J5" s="13" t="s">
        <v>668</v>
      </c>
      <c r="K5" s="97" t="s">
        <v>37</v>
      </c>
      <c r="L5" s="98" t="s">
        <v>38</v>
      </c>
      <c r="M5" s="99" t="s">
        <v>39</v>
      </c>
      <c r="N5" s="97" t="s">
        <v>678</v>
      </c>
      <c r="O5" s="98" t="s">
        <v>38</v>
      </c>
      <c r="P5" s="99" t="s">
        <v>39</v>
      </c>
      <c r="Q5" s="97" t="s">
        <v>37</v>
      </c>
      <c r="R5" s="98" t="s">
        <v>38</v>
      </c>
      <c r="S5" s="99" t="s">
        <v>39</v>
      </c>
      <c r="T5" s="97" t="s">
        <v>678</v>
      </c>
      <c r="U5" s="98" t="s">
        <v>38</v>
      </c>
      <c r="V5" s="99" t="s">
        <v>39</v>
      </c>
      <c r="W5" s="100" t="s">
        <v>40</v>
      </c>
      <c r="X5" s="99" t="s">
        <v>41</v>
      </c>
      <c r="Y5" s="101" t="s">
        <v>35</v>
      </c>
      <c r="Z5" s="97" t="s">
        <v>1306</v>
      </c>
      <c r="AA5" s="98" t="s">
        <v>681</v>
      </c>
      <c r="AB5" s="98" t="s">
        <v>32</v>
      </c>
      <c r="AC5" s="102" t="s">
        <v>682</v>
      </c>
      <c r="AD5" s="357" t="s">
        <v>777</v>
      </c>
      <c r="AE5" s="358" t="s">
        <v>778</v>
      </c>
      <c r="AF5" s="359" t="s">
        <v>779</v>
      </c>
      <c r="AG5" s="357" t="s">
        <v>777</v>
      </c>
      <c r="AH5" s="358" t="s">
        <v>778</v>
      </c>
      <c r="AI5" s="359" t="s">
        <v>1346</v>
      </c>
      <c r="AJ5" s="361" t="s">
        <v>1266</v>
      </c>
      <c r="AK5" s="104" t="s">
        <v>1356</v>
      </c>
      <c r="AL5" s="362" t="s">
        <v>1357</v>
      </c>
      <c r="AM5" s="363" t="s">
        <v>1266</v>
      </c>
      <c r="AN5" s="108" t="s">
        <v>1356</v>
      </c>
      <c r="AO5" s="359" t="s">
        <v>1357</v>
      </c>
      <c r="AP5" s="109" t="s">
        <v>1358</v>
      </c>
      <c r="AQ5" s="448" t="s">
        <v>650</v>
      </c>
      <c r="AR5" s="453" t="s">
        <v>517</v>
      </c>
      <c r="AS5" s="658"/>
    </row>
    <row r="6" spans="1:45" ht="102">
      <c r="A6" s="147" t="str">
        <f>"PG&amp;E 0"&amp;1</f>
        <v>PG&amp;E 01</v>
      </c>
      <c r="B6" s="380" t="s">
        <v>1302</v>
      </c>
      <c r="C6" s="32" t="s">
        <v>1301</v>
      </c>
      <c r="D6" s="38" t="s">
        <v>381</v>
      </c>
      <c r="E6" s="38" t="s">
        <v>1319</v>
      </c>
      <c r="F6" s="24" t="s">
        <v>969</v>
      </c>
      <c r="G6" s="25"/>
      <c r="H6" s="26"/>
      <c r="I6" s="24"/>
      <c r="J6" s="25"/>
      <c r="K6" s="4"/>
      <c r="L6" s="4"/>
      <c r="M6" s="5"/>
      <c r="N6" s="4"/>
      <c r="O6" s="4"/>
      <c r="P6" s="4"/>
      <c r="Q6" s="4"/>
      <c r="R6" s="4"/>
      <c r="S6" s="4"/>
      <c r="T6" s="4"/>
      <c r="U6" s="4"/>
      <c r="V6" s="4"/>
      <c r="W6" s="4"/>
      <c r="X6" s="4"/>
      <c r="Y6" s="4"/>
      <c r="Z6" s="4"/>
      <c r="AA6" s="4"/>
      <c r="AB6" s="4"/>
      <c r="AC6" s="18"/>
      <c r="AD6" s="256" t="s">
        <v>982</v>
      </c>
      <c r="AE6" s="256" t="s">
        <v>982</v>
      </c>
      <c r="AF6" s="256">
        <v>320</v>
      </c>
      <c r="AG6" s="256">
        <v>318</v>
      </c>
      <c r="AH6" s="256">
        <v>0</v>
      </c>
      <c r="AI6" s="256">
        <v>318</v>
      </c>
      <c r="AJ6" s="114">
        <v>0</v>
      </c>
      <c r="AK6" s="114">
        <v>0</v>
      </c>
      <c r="AL6" s="114">
        <v>0</v>
      </c>
      <c r="AM6" s="114">
        <v>0</v>
      </c>
      <c r="AN6" s="112">
        <v>0</v>
      </c>
      <c r="AO6" s="114">
        <v>0</v>
      </c>
      <c r="AP6" s="199" t="str">
        <f>IF(AM6=0,"NA",AI6/AM6)</f>
        <v>NA</v>
      </c>
      <c r="AQ6" s="449" t="str">
        <f>IF(AN6=0,"NA",AI6/AN6)</f>
        <v>NA</v>
      </c>
      <c r="AR6" s="449" t="str">
        <f>IF(AO6=0,"NA",AI6/AO6)</f>
        <v>NA</v>
      </c>
      <c r="AS6" s="4"/>
    </row>
    <row r="7" spans="1:45" ht="114.75">
      <c r="A7" s="147" t="str">
        <f>"PG&amp;E 0"&amp;2</f>
        <v>PG&amp;E 02</v>
      </c>
      <c r="B7" s="380" t="s">
        <v>1303</v>
      </c>
      <c r="C7" s="32" t="s">
        <v>1301</v>
      </c>
      <c r="D7" s="38" t="s">
        <v>217</v>
      </c>
      <c r="E7" s="38" t="s">
        <v>218</v>
      </c>
      <c r="F7" s="24" t="s">
        <v>969</v>
      </c>
      <c r="G7" s="25"/>
      <c r="H7" s="26"/>
      <c r="I7" s="24"/>
      <c r="J7" s="25"/>
      <c r="K7" s="4"/>
      <c r="L7" s="4"/>
      <c r="M7" s="5"/>
      <c r="N7" s="4"/>
      <c r="O7" s="4"/>
      <c r="P7" s="4"/>
      <c r="Q7" s="4"/>
      <c r="R7" s="4"/>
      <c r="S7" s="4"/>
      <c r="T7" s="4"/>
      <c r="U7" s="4"/>
      <c r="V7" s="4"/>
      <c r="W7" s="4"/>
      <c r="X7" s="4"/>
      <c r="Y7" s="4"/>
      <c r="Z7" s="4"/>
      <c r="AA7" s="4"/>
      <c r="AB7" s="4"/>
      <c r="AC7" s="18"/>
      <c r="AD7" s="256" t="s">
        <v>982</v>
      </c>
      <c r="AE7" s="256" t="s">
        <v>982</v>
      </c>
      <c r="AF7" s="256">
        <v>877</v>
      </c>
      <c r="AG7" s="256">
        <v>244</v>
      </c>
      <c r="AH7" s="256">
        <v>0</v>
      </c>
      <c r="AI7" s="256">
        <v>244</v>
      </c>
      <c r="AJ7" s="114">
        <v>0</v>
      </c>
      <c r="AK7" s="114">
        <v>0</v>
      </c>
      <c r="AL7" s="114">
        <v>0</v>
      </c>
      <c r="AM7" s="114">
        <v>0</v>
      </c>
      <c r="AN7" s="112">
        <v>0</v>
      </c>
      <c r="AO7" s="114">
        <v>0</v>
      </c>
      <c r="AP7" s="199" t="str">
        <f aca="true" t="shared" si="0" ref="AP7:AP21">IF(AM7=0,"NA",AI7/AM7)</f>
        <v>NA</v>
      </c>
      <c r="AQ7" s="449" t="str">
        <f aca="true" t="shared" si="1" ref="AQ7:AQ51">IF(AN7=0,"NA",AI7/AN7)</f>
        <v>NA</v>
      </c>
      <c r="AR7" s="449" t="str">
        <f aca="true" t="shared" si="2" ref="AR7:AR51">IF(AO7=0,"NA",AI7/AO7)</f>
        <v>NA</v>
      </c>
      <c r="AS7" s="4"/>
    </row>
    <row r="8" spans="1:45" ht="89.25">
      <c r="A8" s="147" t="str">
        <f>"PG&amp;E 0"&amp;3</f>
        <v>PG&amp;E 03</v>
      </c>
      <c r="B8" s="380" t="s">
        <v>1304</v>
      </c>
      <c r="C8" s="32" t="s">
        <v>1301</v>
      </c>
      <c r="D8" s="38" t="s">
        <v>219</v>
      </c>
      <c r="E8" s="38" t="s">
        <v>220</v>
      </c>
      <c r="F8" s="24" t="s">
        <v>969</v>
      </c>
      <c r="G8" s="25"/>
      <c r="H8" s="26"/>
      <c r="I8" s="24"/>
      <c r="J8" s="25"/>
      <c r="K8" s="4"/>
      <c r="L8" s="4"/>
      <c r="M8" s="5"/>
      <c r="N8" s="4"/>
      <c r="O8" s="4"/>
      <c r="P8" s="4"/>
      <c r="Q8" s="4"/>
      <c r="R8" s="4"/>
      <c r="S8" s="4"/>
      <c r="T8" s="4"/>
      <c r="U8" s="4"/>
      <c r="V8" s="4"/>
      <c r="W8" s="4"/>
      <c r="X8" s="4"/>
      <c r="Y8" s="4"/>
      <c r="Z8" s="4"/>
      <c r="AA8" s="4"/>
      <c r="AB8" s="4"/>
      <c r="AC8" s="18"/>
      <c r="AD8" s="256" t="s">
        <v>982</v>
      </c>
      <c r="AE8" s="256" t="s">
        <v>982</v>
      </c>
      <c r="AF8" s="256">
        <v>290</v>
      </c>
      <c r="AG8" s="256">
        <v>173</v>
      </c>
      <c r="AH8" s="256">
        <v>0</v>
      </c>
      <c r="AI8" s="256">
        <v>173</v>
      </c>
      <c r="AJ8" s="114">
        <v>126.72</v>
      </c>
      <c r="AK8" s="115">
        <v>0.162</v>
      </c>
      <c r="AL8" s="114">
        <v>0</v>
      </c>
      <c r="AM8" s="114">
        <v>0</v>
      </c>
      <c r="AN8" s="112">
        <v>0</v>
      </c>
      <c r="AO8" s="114">
        <v>0</v>
      </c>
      <c r="AP8" s="199" t="str">
        <f t="shared" si="0"/>
        <v>NA</v>
      </c>
      <c r="AQ8" s="449" t="str">
        <f t="shared" si="1"/>
        <v>NA</v>
      </c>
      <c r="AR8" s="449" t="str">
        <f t="shared" si="2"/>
        <v>NA</v>
      </c>
      <c r="AS8" s="4"/>
    </row>
    <row r="9" spans="1:45" ht="127.5">
      <c r="A9" s="147" t="str">
        <f>"PG&amp;E 0"&amp;4</f>
        <v>PG&amp;E 04</v>
      </c>
      <c r="B9" s="380" t="s">
        <v>1305</v>
      </c>
      <c r="C9" s="32" t="s">
        <v>1301</v>
      </c>
      <c r="D9" s="38" t="s">
        <v>223</v>
      </c>
      <c r="E9" s="38" t="s">
        <v>382</v>
      </c>
      <c r="F9" s="24" t="s">
        <v>969</v>
      </c>
      <c r="G9" s="25"/>
      <c r="H9" s="26"/>
      <c r="I9" s="24"/>
      <c r="J9" s="25"/>
      <c r="K9" s="4"/>
      <c r="L9" s="4"/>
      <c r="M9" s="5"/>
      <c r="N9" s="4"/>
      <c r="O9" s="4"/>
      <c r="P9" s="4"/>
      <c r="Q9" s="4"/>
      <c r="R9" s="4"/>
      <c r="S9" s="4"/>
      <c r="T9" s="4"/>
      <c r="U9" s="4"/>
      <c r="V9" s="4"/>
      <c r="W9" s="4"/>
      <c r="X9" s="4"/>
      <c r="Y9" s="4"/>
      <c r="Z9" s="4"/>
      <c r="AA9" s="4"/>
      <c r="AB9" s="4"/>
      <c r="AC9" s="18"/>
      <c r="AD9" s="256" t="s">
        <v>982</v>
      </c>
      <c r="AE9" s="256" t="s">
        <v>982</v>
      </c>
      <c r="AF9" s="256">
        <v>4970</v>
      </c>
      <c r="AG9" s="256">
        <f>AI9*0.3</f>
        <v>1513.2</v>
      </c>
      <c r="AH9" s="256">
        <f>AI9*0.7</f>
        <v>3530.7999999999997</v>
      </c>
      <c r="AI9" s="114">
        <v>5044</v>
      </c>
      <c r="AJ9" s="114">
        <v>2188.38</v>
      </c>
      <c r="AK9" s="115">
        <v>1.17</v>
      </c>
      <c r="AL9" s="114">
        <v>16.02</v>
      </c>
      <c r="AM9" s="114">
        <v>3502</v>
      </c>
      <c r="AN9" s="112">
        <v>5.94</v>
      </c>
      <c r="AO9" s="114">
        <v>197</v>
      </c>
      <c r="AP9" s="199">
        <f t="shared" si="0"/>
        <v>1.4403198172472873</v>
      </c>
      <c r="AQ9" s="449">
        <f t="shared" si="1"/>
        <v>849.1582491582491</v>
      </c>
      <c r="AR9" s="449">
        <f t="shared" si="2"/>
        <v>25.604060913705585</v>
      </c>
      <c r="AS9" s="4" t="s">
        <v>467</v>
      </c>
    </row>
    <row r="10" spans="1:45" ht="127.5">
      <c r="A10" s="147" t="str">
        <f>"PG&amp;E 0"&amp;5</f>
        <v>PG&amp;E 05</v>
      </c>
      <c r="B10" s="380" t="s">
        <v>58</v>
      </c>
      <c r="C10" s="32" t="s">
        <v>1301</v>
      </c>
      <c r="D10" s="38" t="s">
        <v>465</v>
      </c>
      <c r="E10" s="38" t="s">
        <v>466</v>
      </c>
      <c r="F10" s="24" t="s">
        <v>969</v>
      </c>
      <c r="G10" s="25"/>
      <c r="H10" s="26"/>
      <c r="I10" s="24"/>
      <c r="J10" s="25"/>
      <c r="K10" s="4"/>
      <c r="L10" s="4"/>
      <c r="M10" s="5"/>
      <c r="N10" s="4"/>
      <c r="O10" s="4"/>
      <c r="P10" s="4"/>
      <c r="Q10" s="4"/>
      <c r="R10" s="4"/>
      <c r="S10" s="4"/>
      <c r="T10" s="4"/>
      <c r="U10" s="4"/>
      <c r="V10" s="4"/>
      <c r="W10" s="4"/>
      <c r="X10" s="4"/>
      <c r="Y10" s="4"/>
      <c r="Z10" s="4"/>
      <c r="AA10" s="4"/>
      <c r="AB10" s="4"/>
      <c r="AC10" s="18"/>
      <c r="AD10" s="256" t="s">
        <v>982</v>
      </c>
      <c r="AE10" s="256" t="s">
        <v>982</v>
      </c>
      <c r="AF10" s="256">
        <v>59</v>
      </c>
      <c r="AG10" s="256">
        <f>AI10*0.3</f>
        <v>2.1</v>
      </c>
      <c r="AH10" s="256">
        <f>AI10*0.7</f>
        <v>4.8999999999999995</v>
      </c>
      <c r="AI10" s="256">
        <v>7</v>
      </c>
      <c r="AJ10" s="114">
        <v>0</v>
      </c>
      <c r="AK10" s="114">
        <v>0</v>
      </c>
      <c r="AL10" s="114">
        <v>0</v>
      </c>
      <c r="AM10" s="114">
        <v>0</v>
      </c>
      <c r="AN10" s="112">
        <v>0</v>
      </c>
      <c r="AO10" s="114">
        <v>0</v>
      </c>
      <c r="AP10" s="199" t="str">
        <f t="shared" si="0"/>
        <v>NA</v>
      </c>
      <c r="AQ10" s="449" t="str">
        <f t="shared" si="1"/>
        <v>NA</v>
      </c>
      <c r="AR10" s="449" t="str">
        <f t="shared" si="2"/>
        <v>NA</v>
      </c>
      <c r="AS10" s="4"/>
    </row>
    <row r="11" spans="1:45" ht="114.75">
      <c r="A11" s="147" t="str">
        <f>"PG&amp;E 0"&amp;6</f>
        <v>PG&amp;E 06</v>
      </c>
      <c r="B11" s="380" t="s">
        <v>801</v>
      </c>
      <c r="C11" s="32" t="s">
        <v>59</v>
      </c>
      <c r="D11" s="38" t="s">
        <v>1320</v>
      </c>
      <c r="E11" s="38" t="s">
        <v>1322</v>
      </c>
      <c r="F11" s="24" t="s">
        <v>969</v>
      </c>
      <c r="G11" s="25" t="s">
        <v>969</v>
      </c>
      <c r="H11" s="26"/>
      <c r="I11" s="24"/>
      <c r="J11" s="25"/>
      <c r="K11" s="4"/>
      <c r="L11" s="4"/>
      <c r="M11" s="5"/>
      <c r="N11" s="4"/>
      <c r="O11" s="4"/>
      <c r="P11" s="4"/>
      <c r="Q11" s="4"/>
      <c r="R11" s="4"/>
      <c r="S11" s="4"/>
      <c r="T11" s="4"/>
      <c r="U11" s="4"/>
      <c r="V11" s="4"/>
      <c r="W11" s="4"/>
      <c r="X11" s="4"/>
      <c r="Y11" s="4"/>
      <c r="Z11" s="4"/>
      <c r="AA11" s="4"/>
      <c r="AB11" s="4"/>
      <c r="AC11" s="18"/>
      <c r="AD11" s="256" t="s">
        <v>982</v>
      </c>
      <c r="AE11" s="256" t="s">
        <v>982</v>
      </c>
      <c r="AF11" s="114">
        <v>800</v>
      </c>
      <c r="AG11" s="256">
        <v>206</v>
      </c>
      <c r="AH11" s="256">
        <v>0</v>
      </c>
      <c r="AI11" s="114">
        <v>206</v>
      </c>
      <c r="AJ11" s="114">
        <v>0</v>
      </c>
      <c r="AK11" s="114">
        <v>0</v>
      </c>
      <c r="AL11" s="114" t="s">
        <v>982</v>
      </c>
      <c r="AM11" s="114">
        <v>0</v>
      </c>
      <c r="AN11" s="112">
        <v>0</v>
      </c>
      <c r="AO11" s="114">
        <v>0</v>
      </c>
      <c r="AP11" s="199" t="str">
        <f t="shared" si="0"/>
        <v>NA</v>
      </c>
      <c r="AQ11" s="449" t="str">
        <f t="shared" si="1"/>
        <v>NA</v>
      </c>
      <c r="AR11" s="449" t="str">
        <f t="shared" si="2"/>
        <v>NA</v>
      </c>
      <c r="AS11" s="4" t="s">
        <v>1321</v>
      </c>
    </row>
    <row r="12" spans="1:45" ht="63.75">
      <c r="A12" s="147" t="str">
        <f>"PG&amp;E 0"&amp;7</f>
        <v>PG&amp;E 07</v>
      </c>
      <c r="B12" s="380" t="s">
        <v>802</v>
      </c>
      <c r="C12" s="32" t="s">
        <v>59</v>
      </c>
      <c r="D12" s="32" t="s">
        <v>224</v>
      </c>
      <c r="E12" s="38" t="s">
        <v>225</v>
      </c>
      <c r="F12" s="24" t="s">
        <v>969</v>
      </c>
      <c r="G12" s="25" t="s">
        <v>969</v>
      </c>
      <c r="H12" s="26"/>
      <c r="I12" s="24"/>
      <c r="J12" s="25"/>
      <c r="K12" s="4"/>
      <c r="L12" s="4"/>
      <c r="M12" s="5"/>
      <c r="N12" s="4"/>
      <c r="O12" s="4"/>
      <c r="P12" s="4"/>
      <c r="Q12" s="4"/>
      <c r="R12" s="4"/>
      <c r="S12" s="4"/>
      <c r="T12" s="4"/>
      <c r="U12" s="4"/>
      <c r="V12" s="4"/>
      <c r="W12" s="4"/>
      <c r="X12" s="4"/>
      <c r="Y12" s="4"/>
      <c r="Z12" s="4"/>
      <c r="AA12" s="4"/>
      <c r="AB12" s="4"/>
      <c r="AC12" s="18"/>
      <c r="AD12" s="256" t="s">
        <v>982</v>
      </c>
      <c r="AE12" s="256" t="s">
        <v>982</v>
      </c>
      <c r="AF12" s="114">
        <v>7114</v>
      </c>
      <c r="AG12" s="256" t="s">
        <v>982</v>
      </c>
      <c r="AH12" s="256" t="s">
        <v>982</v>
      </c>
      <c r="AI12" s="114">
        <v>7047</v>
      </c>
      <c r="AJ12" s="114">
        <v>4408</v>
      </c>
      <c r="AK12" s="115">
        <v>0.216</v>
      </c>
      <c r="AL12" s="114" t="s">
        <v>982</v>
      </c>
      <c r="AM12" s="114">
        <v>140955</v>
      </c>
      <c r="AN12" s="112">
        <v>41.06</v>
      </c>
      <c r="AO12" s="114">
        <v>0</v>
      </c>
      <c r="AP12" s="199">
        <f t="shared" si="0"/>
        <v>0.04999467915292115</v>
      </c>
      <c r="AQ12" s="449">
        <f t="shared" si="1"/>
        <v>171.62688748173403</v>
      </c>
      <c r="AR12" s="449" t="str">
        <f t="shared" si="2"/>
        <v>NA</v>
      </c>
      <c r="AS12" s="4"/>
    </row>
    <row r="13" spans="1:45" ht="89.25">
      <c r="A13" s="147" t="str">
        <f>"PG&amp;E 0"&amp;8</f>
        <v>PG&amp;E 08</v>
      </c>
      <c r="B13" s="380" t="s">
        <v>803</v>
      </c>
      <c r="C13" s="32" t="s">
        <v>59</v>
      </c>
      <c r="D13" s="38" t="s">
        <v>226</v>
      </c>
      <c r="E13" s="38" t="s">
        <v>227</v>
      </c>
      <c r="F13" s="24" t="s">
        <v>969</v>
      </c>
      <c r="G13" s="25" t="s">
        <v>969</v>
      </c>
      <c r="H13" s="26"/>
      <c r="I13" s="24"/>
      <c r="J13" s="25"/>
      <c r="K13" s="4"/>
      <c r="L13" s="4"/>
      <c r="M13" s="5"/>
      <c r="N13" s="4"/>
      <c r="O13" s="4"/>
      <c r="P13" s="4"/>
      <c r="Q13" s="4"/>
      <c r="R13" s="4"/>
      <c r="S13" s="4"/>
      <c r="T13" s="4"/>
      <c r="U13" s="4"/>
      <c r="V13" s="4"/>
      <c r="W13" s="4"/>
      <c r="X13" s="4"/>
      <c r="Y13" s="4"/>
      <c r="Z13" s="4"/>
      <c r="AA13" s="4"/>
      <c r="AB13" s="4"/>
      <c r="AC13" s="18"/>
      <c r="AD13" s="256" t="s">
        <v>982</v>
      </c>
      <c r="AE13" s="256" t="s">
        <v>982</v>
      </c>
      <c r="AF13" s="114">
        <v>1630</v>
      </c>
      <c r="AG13" s="256" t="s">
        <v>982</v>
      </c>
      <c r="AH13" s="256" t="s">
        <v>982</v>
      </c>
      <c r="AI13" s="114">
        <v>1716</v>
      </c>
      <c r="AJ13" s="114">
        <v>10395.2</v>
      </c>
      <c r="AK13" s="115">
        <v>0.509</v>
      </c>
      <c r="AL13" s="114" t="s">
        <v>982</v>
      </c>
      <c r="AM13" s="114">
        <v>7129</v>
      </c>
      <c r="AN13" s="112">
        <v>2.13</v>
      </c>
      <c r="AO13" s="114"/>
      <c r="AP13" s="199">
        <f t="shared" si="0"/>
        <v>0.24070697152475803</v>
      </c>
      <c r="AQ13" s="449">
        <f t="shared" si="1"/>
        <v>805.6338028169015</v>
      </c>
      <c r="AR13" s="449" t="str">
        <f t="shared" si="2"/>
        <v>NA</v>
      </c>
      <c r="AS13" s="4"/>
    </row>
    <row r="14" spans="1:45" ht="102">
      <c r="A14" s="147" t="str">
        <f>"PG&amp;E 0"&amp;9</f>
        <v>PG&amp;E 09</v>
      </c>
      <c r="B14" s="380" t="s">
        <v>805</v>
      </c>
      <c r="C14" s="32" t="s">
        <v>804</v>
      </c>
      <c r="D14" s="38" t="s">
        <v>296</v>
      </c>
      <c r="E14" s="38"/>
      <c r="F14" s="24" t="s">
        <v>969</v>
      </c>
      <c r="G14" s="25" t="s">
        <v>969</v>
      </c>
      <c r="H14" s="26"/>
      <c r="I14" s="24"/>
      <c r="J14" s="25"/>
      <c r="K14" s="4"/>
      <c r="L14" s="4"/>
      <c r="M14" s="5"/>
      <c r="N14" s="4"/>
      <c r="O14" s="4"/>
      <c r="P14" s="4"/>
      <c r="Q14" s="4"/>
      <c r="R14" s="4"/>
      <c r="S14" s="4"/>
      <c r="T14" s="4"/>
      <c r="U14" s="4"/>
      <c r="V14" s="4"/>
      <c r="W14" s="4"/>
      <c r="X14" s="4"/>
      <c r="Y14" s="4"/>
      <c r="Z14" s="4"/>
      <c r="AA14" s="4"/>
      <c r="AB14" s="4"/>
      <c r="AC14" s="18"/>
      <c r="AD14" s="256" t="s">
        <v>982</v>
      </c>
      <c r="AE14" s="256" t="s">
        <v>982</v>
      </c>
      <c r="AF14" s="114">
        <v>870</v>
      </c>
      <c r="AG14" s="256">
        <v>377</v>
      </c>
      <c r="AH14" s="256">
        <v>0</v>
      </c>
      <c r="AI14" s="114">
        <v>377</v>
      </c>
      <c r="AJ14" s="114">
        <v>0</v>
      </c>
      <c r="AK14" s="114">
        <v>0</v>
      </c>
      <c r="AL14" s="114">
        <v>0</v>
      </c>
      <c r="AM14" s="114">
        <v>0</v>
      </c>
      <c r="AN14" s="112">
        <v>0</v>
      </c>
      <c r="AO14" s="114">
        <v>0</v>
      </c>
      <c r="AP14" s="199" t="str">
        <f t="shared" si="0"/>
        <v>NA</v>
      </c>
      <c r="AQ14" s="449" t="str">
        <f t="shared" si="1"/>
        <v>NA</v>
      </c>
      <c r="AR14" s="449" t="str">
        <f t="shared" si="2"/>
        <v>NA</v>
      </c>
      <c r="AS14" s="4" t="s">
        <v>386</v>
      </c>
    </row>
    <row r="15" spans="1:45" ht="76.5">
      <c r="A15" s="147" t="str">
        <f>"PG&amp;E "&amp;10</f>
        <v>PG&amp;E 10</v>
      </c>
      <c r="B15" s="380" t="s">
        <v>806</v>
      </c>
      <c r="C15" s="32" t="s">
        <v>804</v>
      </c>
      <c r="D15" s="38" t="s">
        <v>228</v>
      </c>
      <c r="E15" s="38" t="s">
        <v>229</v>
      </c>
      <c r="F15" s="24"/>
      <c r="G15" s="25" t="s">
        <v>969</v>
      </c>
      <c r="H15" s="26"/>
      <c r="I15" s="24"/>
      <c r="J15" s="25"/>
      <c r="K15" s="4"/>
      <c r="L15" s="4"/>
      <c r="M15" s="5"/>
      <c r="N15" s="4"/>
      <c r="O15" s="4"/>
      <c r="P15" s="4"/>
      <c r="Q15" s="4"/>
      <c r="R15" s="4"/>
      <c r="S15" s="4"/>
      <c r="T15" s="4"/>
      <c r="U15" s="4"/>
      <c r="V15" s="4"/>
      <c r="W15" s="4"/>
      <c r="X15" s="4"/>
      <c r="Y15" s="4"/>
      <c r="Z15" s="4"/>
      <c r="AA15" s="4"/>
      <c r="AB15" s="4"/>
      <c r="AC15" s="18"/>
      <c r="AD15" s="256" t="s">
        <v>982</v>
      </c>
      <c r="AE15" s="256" t="s">
        <v>982</v>
      </c>
      <c r="AF15" s="114">
        <v>12200</v>
      </c>
      <c r="AG15" s="256" t="s">
        <v>982</v>
      </c>
      <c r="AH15" s="256" t="s">
        <v>982</v>
      </c>
      <c r="AI15" s="114">
        <v>13169</v>
      </c>
      <c r="AJ15" s="114">
        <v>904.21</v>
      </c>
      <c r="AK15" s="115">
        <v>0.184</v>
      </c>
      <c r="AL15" s="114">
        <v>438.9</v>
      </c>
      <c r="AM15" s="114">
        <v>28413</v>
      </c>
      <c r="AN15" s="112">
        <v>5.39</v>
      </c>
      <c r="AO15" s="114">
        <v>245</v>
      </c>
      <c r="AP15" s="199">
        <f t="shared" si="0"/>
        <v>0.4634850244606342</v>
      </c>
      <c r="AQ15" s="449">
        <f t="shared" si="1"/>
        <v>2443.2282003710575</v>
      </c>
      <c r="AR15" s="449">
        <f t="shared" si="2"/>
        <v>53.751020408163264</v>
      </c>
      <c r="AS15" s="4" t="s">
        <v>230</v>
      </c>
    </row>
    <row r="16" spans="1:45" ht="127.5">
      <c r="A16" s="147" t="str">
        <f>"PG&amp;E "&amp;11</f>
        <v>PG&amp;E 11</v>
      </c>
      <c r="B16" s="380" t="s">
        <v>809</v>
      </c>
      <c r="C16" s="32" t="s">
        <v>808</v>
      </c>
      <c r="D16" s="38" t="s">
        <v>277</v>
      </c>
      <c r="E16" s="38" t="s">
        <v>278</v>
      </c>
      <c r="F16" s="24" t="s">
        <v>969</v>
      </c>
      <c r="G16" s="25"/>
      <c r="H16" s="26"/>
      <c r="I16" s="24"/>
      <c r="J16" s="25"/>
      <c r="K16" s="4"/>
      <c r="L16" s="4"/>
      <c r="M16" s="5"/>
      <c r="N16" s="4"/>
      <c r="O16" s="4"/>
      <c r="P16" s="4"/>
      <c r="Q16" s="4"/>
      <c r="R16" s="4"/>
      <c r="S16" s="4"/>
      <c r="T16" s="4"/>
      <c r="U16" s="4"/>
      <c r="V16" s="4"/>
      <c r="W16" s="4"/>
      <c r="X16" s="4"/>
      <c r="Y16" s="4"/>
      <c r="Z16" s="4"/>
      <c r="AA16" s="4"/>
      <c r="AB16" s="4"/>
      <c r="AC16" s="18"/>
      <c r="AD16" s="256" t="s">
        <v>982</v>
      </c>
      <c r="AE16" s="256" t="s">
        <v>982</v>
      </c>
      <c r="AF16" s="114">
        <v>16907</v>
      </c>
      <c r="AG16" s="256" t="s">
        <v>982</v>
      </c>
      <c r="AH16" s="256" t="s">
        <v>982</v>
      </c>
      <c r="AI16" s="114">
        <v>14241</v>
      </c>
      <c r="AJ16" s="114">
        <v>15450.62</v>
      </c>
      <c r="AK16" s="115">
        <v>11.273</v>
      </c>
      <c r="AL16" s="114">
        <v>2015.62</v>
      </c>
      <c r="AM16" s="114">
        <v>23758</v>
      </c>
      <c r="AN16" s="112">
        <v>13.37</v>
      </c>
      <c r="AO16" s="114">
        <v>1698</v>
      </c>
      <c r="AP16" s="199">
        <f t="shared" si="0"/>
        <v>0.5994191430255073</v>
      </c>
      <c r="AQ16" s="449">
        <f t="shared" si="1"/>
        <v>1065.1458489154825</v>
      </c>
      <c r="AR16" s="449">
        <f t="shared" si="2"/>
        <v>8.386925795053003</v>
      </c>
      <c r="AS16" s="4" t="s">
        <v>216</v>
      </c>
    </row>
    <row r="17" spans="1:45" ht="102">
      <c r="A17" s="147" t="str">
        <f>"PG&amp;E "&amp;12</f>
        <v>PG&amp;E 12</v>
      </c>
      <c r="B17" s="380" t="s">
        <v>813</v>
      </c>
      <c r="C17" s="32" t="s">
        <v>807</v>
      </c>
      <c r="D17" s="38" t="s">
        <v>272</v>
      </c>
      <c r="E17" s="38" t="s">
        <v>271</v>
      </c>
      <c r="F17" s="27" t="s">
        <v>969</v>
      </c>
      <c r="G17" s="28"/>
      <c r="H17" s="29"/>
      <c r="I17" s="27"/>
      <c r="J17" s="28"/>
      <c r="K17" s="1" t="s">
        <v>720</v>
      </c>
      <c r="L17" s="1" t="s">
        <v>721</v>
      </c>
      <c r="M17" s="3" t="s">
        <v>722</v>
      </c>
      <c r="N17" s="1" t="s">
        <v>723</v>
      </c>
      <c r="O17" s="1" t="s">
        <v>724</v>
      </c>
      <c r="P17" s="3" t="s">
        <v>725</v>
      </c>
      <c r="Q17" s="1" t="s">
        <v>1212</v>
      </c>
      <c r="R17" s="1" t="s">
        <v>1213</v>
      </c>
      <c r="S17" s="3" t="s">
        <v>1214</v>
      </c>
      <c r="T17" s="1" t="s">
        <v>726</v>
      </c>
      <c r="U17" s="1" t="s">
        <v>727</v>
      </c>
      <c r="V17" s="3" t="s">
        <v>728</v>
      </c>
      <c r="W17" s="1" t="s">
        <v>1235</v>
      </c>
      <c r="X17" s="1" t="s">
        <v>812</v>
      </c>
      <c r="Y17" s="1"/>
      <c r="Z17" s="1"/>
      <c r="AA17" s="1"/>
      <c r="AB17" s="1"/>
      <c r="AC17" s="44"/>
      <c r="AD17" s="256" t="s">
        <v>982</v>
      </c>
      <c r="AE17" s="256" t="s">
        <v>982</v>
      </c>
      <c r="AF17" s="177">
        <v>746</v>
      </c>
      <c r="AG17" s="256">
        <v>1067</v>
      </c>
      <c r="AH17" s="256">
        <v>0</v>
      </c>
      <c r="AI17" s="177">
        <v>1067</v>
      </c>
      <c r="AJ17" s="177">
        <v>4255.48</v>
      </c>
      <c r="AK17" s="117">
        <v>0.77</v>
      </c>
      <c r="AL17" s="177">
        <v>1288.4</v>
      </c>
      <c r="AM17" s="177">
        <v>2755</v>
      </c>
      <c r="AN17" s="116">
        <v>0.65</v>
      </c>
      <c r="AO17" s="177">
        <v>324</v>
      </c>
      <c r="AP17" s="199">
        <f t="shared" si="0"/>
        <v>0.3872958257713249</v>
      </c>
      <c r="AQ17" s="449">
        <f t="shared" si="1"/>
        <v>1641.5384615384614</v>
      </c>
      <c r="AR17" s="454">
        <f t="shared" si="2"/>
        <v>3.29320987654321</v>
      </c>
      <c r="AS17" s="1" t="s">
        <v>273</v>
      </c>
    </row>
    <row r="18" spans="1:45" ht="102">
      <c r="A18" s="147" t="str">
        <f>"PG&amp;E "&amp;13</f>
        <v>PG&amp;E 13</v>
      </c>
      <c r="B18" s="380" t="s">
        <v>810</v>
      </c>
      <c r="C18" s="32" t="s">
        <v>807</v>
      </c>
      <c r="D18" s="38" t="s">
        <v>221</v>
      </c>
      <c r="E18" s="38" t="s">
        <v>222</v>
      </c>
      <c r="F18" s="27" t="s">
        <v>969</v>
      </c>
      <c r="G18" s="25"/>
      <c r="H18" s="26"/>
      <c r="I18" s="24"/>
      <c r="J18" s="25"/>
      <c r="K18" s="4"/>
      <c r="L18" s="4"/>
      <c r="M18" s="5"/>
      <c r="N18" s="4"/>
      <c r="O18" s="4"/>
      <c r="P18" s="4"/>
      <c r="Q18" s="4"/>
      <c r="R18" s="4"/>
      <c r="S18" s="4"/>
      <c r="T18" s="4"/>
      <c r="U18" s="4"/>
      <c r="V18" s="4"/>
      <c r="W18" s="4"/>
      <c r="X18" s="4"/>
      <c r="Y18" s="4"/>
      <c r="Z18" s="4"/>
      <c r="AA18" s="4"/>
      <c r="AB18" s="4"/>
      <c r="AC18" s="18"/>
      <c r="AD18" s="256" t="s">
        <v>982</v>
      </c>
      <c r="AE18" s="256" t="s">
        <v>982</v>
      </c>
      <c r="AF18" s="114">
        <v>1210</v>
      </c>
      <c r="AG18" s="256" t="s">
        <v>982</v>
      </c>
      <c r="AH18" s="256" t="s">
        <v>982</v>
      </c>
      <c r="AI18" s="114">
        <v>601</v>
      </c>
      <c r="AJ18" s="114">
        <v>0</v>
      </c>
      <c r="AK18" s="114">
        <v>0</v>
      </c>
      <c r="AL18" s="114">
        <v>0</v>
      </c>
      <c r="AM18" s="114">
        <v>0</v>
      </c>
      <c r="AN18" s="112">
        <v>0</v>
      </c>
      <c r="AO18" s="114">
        <v>0</v>
      </c>
      <c r="AP18" s="199" t="str">
        <f t="shared" si="0"/>
        <v>NA</v>
      </c>
      <c r="AQ18" s="449" t="str">
        <f t="shared" si="1"/>
        <v>NA</v>
      </c>
      <c r="AR18" s="449" t="str">
        <f t="shared" si="2"/>
        <v>NA</v>
      </c>
      <c r="AS18" s="4"/>
    </row>
    <row r="19" spans="1:45" ht="89.25">
      <c r="A19" s="147" t="str">
        <f>"PG&amp;E "&amp;14</f>
        <v>PG&amp;E 14</v>
      </c>
      <c r="B19" s="380" t="s">
        <v>811</v>
      </c>
      <c r="C19" s="32" t="s">
        <v>807</v>
      </c>
      <c r="D19" s="38" t="s">
        <v>274</v>
      </c>
      <c r="E19" s="38" t="s">
        <v>275</v>
      </c>
      <c r="F19" s="27" t="s">
        <v>969</v>
      </c>
      <c r="G19" s="25"/>
      <c r="H19" s="26"/>
      <c r="I19" s="24"/>
      <c r="J19" s="25"/>
      <c r="K19" s="4"/>
      <c r="L19" s="4"/>
      <c r="M19" s="5"/>
      <c r="N19" s="4"/>
      <c r="O19" s="4"/>
      <c r="P19" s="4"/>
      <c r="Q19" s="4"/>
      <c r="R19" s="4"/>
      <c r="S19" s="4"/>
      <c r="T19" s="4"/>
      <c r="U19" s="4"/>
      <c r="V19" s="4"/>
      <c r="W19" s="4"/>
      <c r="X19" s="4"/>
      <c r="Y19" s="4"/>
      <c r="Z19" s="4"/>
      <c r="AA19" s="4"/>
      <c r="AB19" s="4"/>
      <c r="AC19" s="18"/>
      <c r="AD19" s="256" t="s">
        <v>982</v>
      </c>
      <c r="AE19" s="256" t="s">
        <v>982</v>
      </c>
      <c r="AF19" s="114">
        <v>4510</v>
      </c>
      <c r="AG19" s="256">
        <v>8269</v>
      </c>
      <c r="AH19" s="256">
        <v>0</v>
      </c>
      <c r="AI19" s="114">
        <v>8269</v>
      </c>
      <c r="AJ19" s="114">
        <v>0</v>
      </c>
      <c r="AK19" s="114">
        <v>0</v>
      </c>
      <c r="AL19" s="114">
        <v>0</v>
      </c>
      <c r="AM19" s="114">
        <v>0</v>
      </c>
      <c r="AN19" s="112">
        <v>0</v>
      </c>
      <c r="AO19" s="114">
        <v>0</v>
      </c>
      <c r="AP19" s="199" t="str">
        <f t="shared" si="0"/>
        <v>NA</v>
      </c>
      <c r="AQ19" s="449" t="str">
        <f t="shared" si="1"/>
        <v>NA</v>
      </c>
      <c r="AR19" s="449" t="str">
        <f t="shared" si="2"/>
        <v>NA</v>
      </c>
      <c r="AS19" s="4" t="s">
        <v>276</v>
      </c>
    </row>
    <row r="20" spans="1:45" ht="102">
      <c r="A20" s="147" t="str">
        <f>"PG&amp;E "&amp;15</f>
        <v>PG&amp;E 15</v>
      </c>
      <c r="B20" s="380" t="s">
        <v>468</v>
      </c>
      <c r="C20" s="32" t="s">
        <v>807</v>
      </c>
      <c r="D20" s="38" t="s">
        <v>469</v>
      </c>
      <c r="E20" s="38" t="s">
        <v>470</v>
      </c>
      <c r="F20" s="27" t="s">
        <v>969</v>
      </c>
      <c r="G20" s="25"/>
      <c r="H20" s="26"/>
      <c r="I20" s="24"/>
      <c r="J20" s="25"/>
      <c r="K20" s="4"/>
      <c r="L20" s="4"/>
      <c r="M20" s="5"/>
      <c r="N20" s="4"/>
      <c r="O20" s="4"/>
      <c r="P20" s="4"/>
      <c r="Q20" s="4"/>
      <c r="R20" s="4"/>
      <c r="S20" s="4"/>
      <c r="T20" s="4"/>
      <c r="U20" s="4"/>
      <c r="V20" s="4"/>
      <c r="W20" s="4"/>
      <c r="X20" s="4"/>
      <c r="Y20" s="4"/>
      <c r="Z20" s="4"/>
      <c r="AA20" s="4"/>
      <c r="AB20" s="4"/>
      <c r="AC20" s="18"/>
      <c r="AD20" s="256" t="s">
        <v>982</v>
      </c>
      <c r="AE20" s="256" t="s">
        <v>982</v>
      </c>
      <c r="AF20" s="114">
        <v>2070</v>
      </c>
      <c r="AG20" s="256">
        <v>2122</v>
      </c>
      <c r="AH20" s="256">
        <v>0</v>
      </c>
      <c r="AI20" s="114">
        <v>2122</v>
      </c>
      <c r="AJ20" s="114">
        <v>6432</v>
      </c>
      <c r="AK20" s="115">
        <v>1.164</v>
      </c>
      <c r="AL20" s="114">
        <v>960</v>
      </c>
      <c r="AM20" s="114">
        <v>9192</v>
      </c>
      <c r="AN20" s="112">
        <v>1.65</v>
      </c>
      <c r="AO20" s="114">
        <v>1372</v>
      </c>
      <c r="AP20" s="199">
        <f t="shared" si="0"/>
        <v>0.23085291557876414</v>
      </c>
      <c r="AQ20" s="449">
        <f t="shared" si="1"/>
        <v>1286.0606060606062</v>
      </c>
      <c r="AR20" s="449">
        <f t="shared" si="2"/>
        <v>1.5466472303206997</v>
      </c>
      <c r="AS20" s="4"/>
    </row>
    <row r="21" spans="2:45" ht="12.75">
      <c r="B21" s="301" t="s">
        <v>1142</v>
      </c>
      <c r="C21" s="301" t="s">
        <v>1143</v>
      </c>
      <c r="D21" s="302"/>
      <c r="E21" s="302"/>
      <c r="F21" s="352"/>
      <c r="G21" s="304"/>
      <c r="H21" s="303"/>
      <c r="I21" s="304"/>
      <c r="J21" s="304"/>
      <c r="K21" s="259"/>
      <c r="L21" s="259"/>
      <c r="M21" s="260"/>
      <c r="N21" s="259"/>
      <c r="O21" s="259"/>
      <c r="P21" s="259"/>
      <c r="Q21" s="259"/>
      <c r="R21" s="259"/>
      <c r="S21" s="259"/>
      <c r="T21" s="259"/>
      <c r="U21" s="259"/>
      <c r="V21" s="259"/>
      <c r="W21" s="259"/>
      <c r="X21" s="259"/>
      <c r="Y21" s="259"/>
      <c r="Z21" s="259"/>
      <c r="AA21" s="259"/>
      <c r="AB21" s="259"/>
      <c r="AC21" s="305"/>
      <c r="AD21" s="261">
        <f>SUM(AD6:AD20)</f>
        <v>0</v>
      </c>
      <c r="AE21" s="261">
        <f aca="true" t="shared" si="3" ref="AE21:AO21">SUM(AE6:AE20)</f>
        <v>0</v>
      </c>
      <c r="AF21" s="261">
        <f t="shared" si="3"/>
        <v>54573</v>
      </c>
      <c r="AG21" s="261">
        <f t="shared" si="3"/>
        <v>14291.3</v>
      </c>
      <c r="AH21" s="261">
        <f t="shared" si="3"/>
        <v>3535.7</v>
      </c>
      <c r="AI21" s="261">
        <f t="shared" si="3"/>
        <v>54601</v>
      </c>
      <c r="AJ21" s="261">
        <f t="shared" si="3"/>
        <v>44160.61</v>
      </c>
      <c r="AK21" s="306">
        <f t="shared" si="3"/>
        <v>15.447999999999999</v>
      </c>
      <c r="AL21" s="261">
        <f t="shared" si="3"/>
        <v>4718.9400000000005</v>
      </c>
      <c r="AM21" s="261">
        <f t="shared" si="3"/>
        <v>215704</v>
      </c>
      <c r="AN21" s="306">
        <f t="shared" si="3"/>
        <v>70.19000000000001</v>
      </c>
      <c r="AO21" s="261">
        <f t="shared" si="3"/>
        <v>3836</v>
      </c>
      <c r="AP21" s="353">
        <f t="shared" si="0"/>
        <v>0.25312928828394465</v>
      </c>
      <c r="AQ21" s="450">
        <f t="shared" si="1"/>
        <v>777.9028351617038</v>
      </c>
      <c r="AR21" s="450">
        <f t="shared" si="2"/>
        <v>14.233837330552658</v>
      </c>
      <c r="AS21" s="259"/>
    </row>
    <row r="22" spans="1:45" ht="89.25">
      <c r="A22" s="147" t="str">
        <f>"PG&amp;E "&amp;16</f>
        <v>PG&amp;E 16</v>
      </c>
      <c r="B22" s="32" t="s">
        <v>765</v>
      </c>
      <c r="C22" s="32" t="s">
        <v>814</v>
      </c>
      <c r="D22" s="40" t="s">
        <v>290</v>
      </c>
      <c r="E22" s="38" t="s">
        <v>289</v>
      </c>
      <c r="F22" s="27" t="s">
        <v>969</v>
      </c>
      <c r="G22" s="28" t="s">
        <v>969</v>
      </c>
      <c r="H22" s="29"/>
      <c r="I22" s="27"/>
      <c r="J22" s="28"/>
      <c r="K22" s="1" t="s">
        <v>153</v>
      </c>
      <c r="L22" s="1" t="s">
        <v>154</v>
      </c>
      <c r="M22" s="1" t="s">
        <v>155</v>
      </c>
      <c r="N22" s="1"/>
      <c r="O22" s="1"/>
      <c r="P22" s="1"/>
      <c r="Q22" s="1" t="s">
        <v>156</v>
      </c>
      <c r="R22" s="1" t="s">
        <v>157</v>
      </c>
      <c r="S22" s="1" t="s">
        <v>158</v>
      </c>
      <c r="T22" s="1" t="s">
        <v>159</v>
      </c>
      <c r="U22" s="1" t="s">
        <v>160</v>
      </c>
      <c r="V22" s="3" t="s">
        <v>161</v>
      </c>
      <c r="W22" s="1" t="s">
        <v>1216</v>
      </c>
      <c r="X22" s="1" t="s">
        <v>162</v>
      </c>
      <c r="Y22" s="4"/>
      <c r="Z22" s="4"/>
      <c r="AA22" s="4"/>
      <c r="AB22" s="4"/>
      <c r="AC22" s="18"/>
      <c r="AD22" s="256" t="s">
        <v>982</v>
      </c>
      <c r="AE22" s="256" t="s">
        <v>982</v>
      </c>
      <c r="AF22" s="114">
        <v>21710</v>
      </c>
      <c r="AG22" s="114">
        <f>AI22-AH22</f>
        <v>15465</v>
      </c>
      <c r="AH22" s="114">
        <v>10876</v>
      </c>
      <c r="AI22" s="114">
        <v>26341</v>
      </c>
      <c r="AJ22" s="114">
        <v>58432.5</v>
      </c>
      <c r="AK22" s="115">
        <v>13.1</v>
      </c>
      <c r="AL22" s="114">
        <v>973.9</v>
      </c>
      <c r="AM22" s="114">
        <v>145929</v>
      </c>
      <c r="AN22" s="112">
        <v>23.12</v>
      </c>
      <c r="AO22" s="114">
        <v>5386</v>
      </c>
      <c r="AP22" s="199">
        <f aca="true" t="shared" si="4" ref="AP22:AP36">IF(AM22=0,"NA",AI22/AM22)</f>
        <v>0.18050558833405286</v>
      </c>
      <c r="AQ22" s="449">
        <f t="shared" si="1"/>
        <v>1139.3166089965398</v>
      </c>
      <c r="AR22" s="449">
        <f t="shared" si="2"/>
        <v>4.8906424062383955</v>
      </c>
      <c r="AS22" s="1" t="s">
        <v>387</v>
      </c>
    </row>
    <row r="23" spans="1:45" ht="127.5">
      <c r="A23" s="147" t="str">
        <f>"PG&amp;E "&amp;17</f>
        <v>PG&amp;E 17</v>
      </c>
      <c r="B23" s="32" t="s">
        <v>701</v>
      </c>
      <c r="C23" s="32" t="s">
        <v>814</v>
      </c>
      <c r="D23" s="40" t="s">
        <v>1275</v>
      </c>
      <c r="E23" s="38" t="s">
        <v>231</v>
      </c>
      <c r="F23" s="27" t="s">
        <v>969</v>
      </c>
      <c r="G23" s="25"/>
      <c r="H23" s="26"/>
      <c r="I23" s="24"/>
      <c r="J23" s="25"/>
      <c r="K23" s="4"/>
      <c r="L23" s="4"/>
      <c r="M23" s="5"/>
      <c r="N23" s="4"/>
      <c r="O23" s="4"/>
      <c r="P23" s="4"/>
      <c r="Q23" s="4"/>
      <c r="R23" s="4"/>
      <c r="S23" s="4"/>
      <c r="T23" s="4"/>
      <c r="U23" s="4"/>
      <c r="V23" s="4"/>
      <c r="W23" s="4"/>
      <c r="X23" s="4"/>
      <c r="Y23" s="4"/>
      <c r="Z23" s="4"/>
      <c r="AA23" s="4"/>
      <c r="AB23" s="4"/>
      <c r="AC23" s="18"/>
      <c r="AD23" s="256" t="s">
        <v>982</v>
      </c>
      <c r="AE23" s="256" t="s">
        <v>982</v>
      </c>
      <c r="AF23" s="114">
        <v>2750</v>
      </c>
      <c r="AG23" s="114">
        <f>AI23</f>
        <v>855</v>
      </c>
      <c r="AH23" s="114">
        <v>0</v>
      </c>
      <c r="AI23" s="114">
        <v>855</v>
      </c>
      <c r="AJ23" s="114">
        <v>640</v>
      </c>
      <c r="AK23" s="115">
        <v>1.3</v>
      </c>
      <c r="AL23" s="114">
        <v>0</v>
      </c>
      <c r="AM23" s="114">
        <v>1196</v>
      </c>
      <c r="AN23" s="112">
        <v>0.2</v>
      </c>
      <c r="AO23" s="114">
        <v>5</v>
      </c>
      <c r="AP23" s="199">
        <f t="shared" si="4"/>
        <v>0.7148829431438127</v>
      </c>
      <c r="AQ23" s="449">
        <f t="shared" si="1"/>
        <v>4275</v>
      </c>
      <c r="AR23" s="449">
        <f t="shared" si="2"/>
        <v>171</v>
      </c>
      <c r="AS23" s="1" t="s">
        <v>1276</v>
      </c>
    </row>
    <row r="24" spans="1:45" ht="102">
      <c r="A24" s="147" t="str">
        <f>"PG&amp;E "&amp;18</f>
        <v>PG&amp;E 18</v>
      </c>
      <c r="B24" s="32" t="s">
        <v>700</v>
      </c>
      <c r="C24" s="32" t="s">
        <v>814</v>
      </c>
      <c r="D24" s="38" t="s">
        <v>1277</v>
      </c>
      <c r="E24" s="38" t="s">
        <v>1278</v>
      </c>
      <c r="F24" s="27" t="s">
        <v>969</v>
      </c>
      <c r="G24" s="25"/>
      <c r="H24" s="26"/>
      <c r="I24" s="24"/>
      <c r="J24" s="25"/>
      <c r="K24" s="4"/>
      <c r="L24" s="4"/>
      <c r="M24" s="5"/>
      <c r="N24" s="4"/>
      <c r="O24" s="4"/>
      <c r="P24" s="4"/>
      <c r="Q24" s="4"/>
      <c r="R24" s="4"/>
      <c r="S24" s="4"/>
      <c r="T24" s="4"/>
      <c r="U24" s="4"/>
      <c r="V24" s="4"/>
      <c r="W24" s="4"/>
      <c r="X24" s="4"/>
      <c r="Y24" s="4"/>
      <c r="Z24" s="4"/>
      <c r="AA24" s="4"/>
      <c r="AB24" s="4"/>
      <c r="AC24" s="18"/>
      <c r="AD24" s="256" t="s">
        <v>982</v>
      </c>
      <c r="AE24" s="256" t="s">
        <v>982</v>
      </c>
      <c r="AF24" s="114">
        <v>1100</v>
      </c>
      <c r="AG24" s="114">
        <f>AI24</f>
        <v>90</v>
      </c>
      <c r="AH24" s="114">
        <v>0</v>
      </c>
      <c r="AI24" s="114">
        <v>90</v>
      </c>
      <c r="AJ24" s="114">
        <v>0</v>
      </c>
      <c r="AK24" s="114">
        <v>0</v>
      </c>
      <c r="AL24" s="114">
        <v>0</v>
      </c>
      <c r="AM24" s="114">
        <v>0</v>
      </c>
      <c r="AN24" s="112">
        <v>0</v>
      </c>
      <c r="AO24" s="114">
        <v>0</v>
      </c>
      <c r="AP24" s="199" t="str">
        <f t="shared" si="4"/>
        <v>NA</v>
      </c>
      <c r="AQ24" s="449" t="str">
        <f t="shared" si="1"/>
        <v>NA</v>
      </c>
      <c r="AR24" s="449" t="str">
        <f t="shared" si="2"/>
        <v>NA</v>
      </c>
      <c r="AS24" s="4"/>
    </row>
    <row r="25" spans="1:45" ht="114.75">
      <c r="A25" s="147" t="str">
        <f>"PG&amp;E "&amp;19</f>
        <v>PG&amp;E 19</v>
      </c>
      <c r="B25" s="32" t="s">
        <v>766</v>
      </c>
      <c r="C25" s="32" t="s">
        <v>815</v>
      </c>
      <c r="D25" s="40" t="s">
        <v>376</v>
      </c>
      <c r="E25" s="38" t="s">
        <v>377</v>
      </c>
      <c r="F25" s="27" t="s">
        <v>969</v>
      </c>
      <c r="G25" s="28"/>
      <c r="H25" s="29"/>
      <c r="I25" s="27"/>
      <c r="J25" s="28"/>
      <c r="K25" s="1" t="s">
        <v>153</v>
      </c>
      <c r="L25" s="1" t="s">
        <v>154</v>
      </c>
      <c r="M25" s="1" t="s">
        <v>155</v>
      </c>
      <c r="N25" s="1"/>
      <c r="O25" s="1"/>
      <c r="P25" s="1"/>
      <c r="Q25" s="1" t="s">
        <v>156</v>
      </c>
      <c r="R25" s="1" t="s">
        <v>157</v>
      </c>
      <c r="S25" s="1" t="s">
        <v>158</v>
      </c>
      <c r="T25" s="1" t="s">
        <v>159</v>
      </c>
      <c r="U25" s="1" t="s">
        <v>160</v>
      </c>
      <c r="V25" s="3" t="s">
        <v>161</v>
      </c>
      <c r="W25" s="1" t="s">
        <v>1216</v>
      </c>
      <c r="X25" s="1" t="s">
        <v>162</v>
      </c>
      <c r="Y25" s="4"/>
      <c r="Z25" s="4"/>
      <c r="AA25" s="4"/>
      <c r="AB25" s="4"/>
      <c r="AC25" s="18"/>
      <c r="AD25" s="256" t="s">
        <v>982</v>
      </c>
      <c r="AE25" s="256" t="s">
        <v>982</v>
      </c>
      <c r="AF25" s="114">
        <v>20700</v>
      </c>
      <c r="AG25" s="114">
        <f>AI25-AH25</f>
        <v>5126</v>
      </c>
      <c r="AH25" s="114">
        <v>1858</v>
      </c>
      <c r="AI25" s="114">
        <v>6984</v>
      </c>
      <c r="AJ25" s="114">
        <v>51250</v>
      </c>
      <c r="AK25" s="115">
        <v>7.82</v>
      </c>
      <c r="AL25" s="114">
        <v>226.6</v>
      </c>
      <c r="AM25" s="114">
        <v>47158</v>
      </c>
      <c r="AN25" s="112">
        <v>8.71</v>
      </c>
      <c r="AO25" s="114">
        <v>428</v>
      </c>
      <c r="AP25" s="199">
        <f t="shared" si="4"/>
        <v>0.148097883710081</v>
      </c>
      <c r="AQ25" s="449">
        <f t="shared" si="1"/>
        <v>801.8369690011481</v>
      </c>
      <c r="AR25" s="449">
        <f t="shared" si="2"/>
        <v>16.317757009345794</v>
      </c>
      <c r="AS25" s="1" t="s">
        <v>163</v>
      </c>
    </row>
    <row r="26" spans="1:45" ht="114.75">
      <c r="A26" s="147" t="str">
        <f>"PG&amp;E "&amp;20</f>
        <v>PG&amp;E 20</v>
      </c>
      <c r="B26" s="32" t="s">
        <v>1015</v>
      </c>
      <c r="C26" s="32" t="s">
        <v>815</v>
      </c>
      <c r="D26" s="38" t="s">
        <v>286</v>
      </c>
      <c r="E26" s="38" t="s">
        <v>287</v>
      </c>
      <c r="F26" s="27" t="s">
        <v>969</v>
      </c>
      <c r="G26" s="25"/>
      <c r="H26" s="26"/>
      <c r="I26" s="24"/>
      <c r="J26" s="25"/>
      <c r="K26" s="4"/>
      <c r="L26" s="4"/>
      <c r="M26" s="5"/>
      <c r="N26" s="4"/>
      <c r="O26" s="4"/>
      <c r="P26" s="4"/>
      <c r="Q26" s="4"/>
      <c r="R26" s="4"/>
      <c r="S26" s="4"/>
      <c r="T26" s="4"/>
      <c r="U26" s="4"/>
      <c r="V26" s="4"/>
      <c r="W26" s="4"/>
      <c r="X26" s="4"/>
      <c r="Y26" s="4"/>
      <c r="Z26" s="4"/>
      <c r="AA26" s="4"/>
      <c r="AB26" s="4"/>
      <c r="AC26" s="18"/>
      <c r="AD26" s="256" t="s">
        <v>982</v>
      </c>
      <c r="AE26" s="256" t="s">
        <v>982</v>
      </c>
      <c r="AF26" s="114">
        <v>5280</v>
      </c>
      <c r="AG26" s="114">
        <f>AI26</f>
        <v>4350</v>
      </c>
      <c r="AH26" s="114">
        <v>0</v>
      </c>
      <c r="AI26" s="114">
        <v>4350</v>
      </c>
      <c r="AJ26" s="114">
        <v>10728.6</v>
      </c>
      <c r="AK26" s="115">
        <v>1.88</v>
      </c>
      <c r="AL26" s="256" t="s">
        <v>982</v>
      </c>
      <c r="AM26" s="114">
        <v>16097</v>
      </c>
      <c r="AN26" s="112">
        <v>3.06</v>
      </c>
      <c r="AO26" s="114">
        <v>-97</v>
      </c>
      <c r="AP26" s="199">
        <f t="shared" si="4"/>
        <v>0.270236690066472</v>
      </c>
      <c r="AQ26" s="449">
        <f t="shared" si="1"/>
        <v>1421.5686274509803</v>
      </c>
      <c r="AR26" s="449">
        <f t="shared" si="2"/>
        <v>-44.845360824742265</v>
      </c>
      <c r="AS26" s="4"/>
    </row>
    <row r="27" spans="1:45" ht="127.5">
      <c r="A27" s="147" t="str">
        <f>"PG&amp;E "&amp;21</f>
        <v>PG&amp;E 21</v>
      </c>
      <c r="B27" s="32" t="s">
        <v>700</v>
      </c>
      <c r="C27" s="32" t="s">
        <v>815</v>
      </c>
      <c r="D27" s="38" t="s">
        <v>1279</v>
      </c>
      <c r="E27" s="38" t="s">
        <v>283</v>
      </c>
      <c r="F27" s="27" t="s">
        <v>969</v>
      </c>
      <c r="G27" s="25"/>
      <c r="H27" s="26"/>
      <c r="I27" s="24"/>
      <c r="J27" s="25"/>
      <c r="K27" s="4"/>
      <c r="L27" s="4"/>
      <c r="M27" s="5"/>
      <c r="N27" s="4"/>
      <c r="O27" s="4"/>
      <c r="P27" s="4"/>
      <c r="Q27" s="4"/>
      <c r="R27" s="4"/>
      <c r="S27" s="4"/>
      <c r="T27" s="4"/>
      <c r="U27" s="4"/>
      <c r="V27" s="4"/>
      <c r="W27" s="4"/>
      <c r="X27" s="4"/>
      <c r="Y27" s="4"/>
      <c r="Z27" s="4"/>
      <c r="AA27" s="4"/>
      <c r="AB27" s="4"/>
      <c r="AC27" s="18"/>
      <c r="AD27" s="256" t="s">
        <v>982</v>
      </c>
      <c r="AE27" s="256" t="s">
        <v>982</v>
      </c>
      <c r="AF27" s="114">
        <v>2500</v>
      </c>
      <c r="AG27" s="114">
        <f>AI27</f>
        <v>825</v>
      </c>
      <c r="AH27" s="114">
        <v>0</v>
      </c>
      <c r="AI27" s="114">
        <v>825</v>
      </c>
      <c r="AJ27" s="114">
        <v>0</v>
      </c>
      <c r="AK27" s="114">
        <v>0</v>
      </c>
      <c r="AL27" s="114">
        <v>0</v>
      </c>
      <c r="AM27" s="114">
        <v>0</v>
      </c>
      <c r="AN27" s="112">
        <v>0</v>
      </c>
      <c r="AO27" s="114">
        <v>0</v>
      </c>
      <c r="AP27" s="199" t="str">
        <f t="shared" si="4"/>
        <v>NA</v>
      </c>
      <c r="AQ27" s="449" t="str">
        <f t="shared" si="1"/>
        <v>NA</v>
      </c>
      <c r="AR27" s="449" t="str">
        <f t="shared" si="2"/>
        <v>NA</v>
      </c>
      <c r="AS27" s="4"/>
    </row>
    <row r="28" spans="1:45" ht="38.25">
      <c r="A28" s="147" t="str">
        <f>"PG&amp;E "&amp;22</f>
        <v>PG&amp;E 22</v>
      </c>
      <c r="B28" s="32" t="s">
        <v>673</v>
      </c>
      <c r="C28" s="32" t="s">
        <v>816</v>
      </c>
      <c r="D28" s="38" t="s">
        <v>288</v>
      </c>
      <c r="E28" s="38" t="s">
        <v>291</v>
      </c>
      <c r="F28" s="27" t="s">
        <v>969</v>
      </c>
      <c r="G28" s="25"/>
      <c r="H28" s="26"/>
      <c r="I28" s="24"/>
      <c r="J28" s="25"/>
      <c r="K28" s="4"/>
      <c r="L28" s="4"/>
      <c r="M28" s="5"/>
      <c r="N28" s="4"/>
      <c r="O28" s="4"/>
      <c r="P28" s="4"/>
      <c r="Q28" s="4"/>
      <c r="R28" s="4"/>
      <c r="S28" s="4"/>
      <c r="T28" s="4"/>
      <c r="U28" s="4"/>
      <c r="V28" s="4"/>
      <c r="W28" s="4"/>
      <c r="X28" s="4"/>
      <c r="Y28" s="4"/>
      <c r="Z28" s="4"/>
      <c r="AA28" s="4"/>
      <c r="AB28" s="4"/>
      <c r="AC28" s="18"/>
      <c r="AD28" s="256" t="s">
        <v>982</v>
      </c>
      <c r="AE28" s="256" t="s">
        <v>982</v>
      </c>
      <c r="AF28" s="256" t="s">
        <v>982</v>
      </c>
      <c r="AG28" s="256" t="s">
        <v>982</v>
      </c>
      <c r="AH28" s="256" t="s">
        <v>982</v>
      </c>
      <c r="AI28" s="256" t="s">
        <v>982</v>
      </c>
      <c r="AJ28" s="256" t="s">
        <v>982</v>
      </c>
      <c r="AK28" s="256" t="s">
        <v>982</v>
      </c>
      <c r="AL28" s="256" t="s">
        <v>982</v>
      </c>
      <c r="AM28" s="256" t="s">
        <v>982</v>
      </c>
      <c r="AN28" s="256" t="s">
        <v>982</v>
      </c>
      <c r="AO28" s="256" t="s">
        <v>982</v>
      </c>
      <c r="AP28" s="590" t="s">
        <v>982</v>
      </c>
      <c r="AQ28" s="591" t="s">
        <v>982</v>
      </c>
      <c r="AR28" s="591" t="s">
        <v>982</v>
      </c>
      <c r="AS28" s="4"/>
    </row>
    <row r="29" spans="1:45" ht="89.25">
      <c r="A29" s="147" t="str">
        <f>"PG&amp;E "&amp;23</f>
        <v>PG&amp;E 23</v>
      </c>
      <c r="B29" s="32" t="s">
        <v>817</v>
      </c>
      <c r="C29" s="32" t="s">
        <v>816</v>
      </c>
      <c r="D29" s="38" t="s">
        <v>354</v>
      </c>
      <c r="E29" s="38" t="s">
        <v>355</v>
      </c>
      <c r="F29" s="27" t="s">
        <v>969</v>
      </c>
      <c r="G29" s="25"/>
      <c r="H29" s="26"/>
      <c r="I29" s="24"/>
      <c r="J29" s="25"/>
      <c r="K29" s="4"/>
      <c r="L29" s="4"/>
      <c r="M29" s="5"/>
      <c r="N29" s="4"/>
      <c r="O29" s="4"/>
      <c r="P29" s="4"/>
      <c r="Q29" s="4"/>
      <c r="R29" s="4"/>
      <c r="S29" s="4"/>
      <c r="T29" s="4"/>
      <c r="U29" s="4"/>
      <c r="V29" s="4"/>
      <c r="W29" s="4"/>
      <c r="X29" s="4"/>
      <c r="Y29" s="4"/>
      <c r="Z29" s="4"/>
      <c r="AA29" s="4"/>
      <c r="AB29" s="4"/>
      <c r="AC29" s="18"/>
      <c r="AD29" s="256" t="s">
        <v>982</v>
      </c>
      <c r="AE29" s="256" t="s">
        <v>982</v>
      </c>
      <c r="AF29" s="114">
        <v>2000</v>
      </c>
      <c r="AG29" s="256" t="s">
        <v>982</v>
      </c>
      <c r="AH29" s="256" t="s">
        <v>982</v>
      </c>
      <c r="AI29" s="114">
        <v>2711</v>
      </c>
      <c r="AJ29" s="114">
        <v>7026.1</v>
      </c>
      <c r="AK29" s="115">
        <v>4.56</v>
      </c>
      <c r="AL29" s="114">
        <v>0</v>
      </c>
      <c r="AM29" s="114">
        <v>7129</v>
      </c>
      <c r="AN29" s="112">
        <v>4.68</v>
      </c>
      <c r="AO29" s="114">
        <v>0</v>
      </c>
      <c r="AP29" s="199">
        <f t="shared" si="4"/>
        <v>0.3802777388132978</v>
      </c>
      <c r="AQ29" s="449">
        <f t="shared" si="1"/>
        <v>579.2735042735043</v>
      </c>
      <c r="AR29" s="449" t="str">
        <f t="shared" si="2"/>
        <v>NA</v>
      </c>
      <c r="AS29" s="4"/>
    </row>
    <row r="30" spans="1:45" ht="51">
      <c r="A30" s="147" t="str">
        <f>"PG&amp;E "&amp;24</f>
        <v>PG&amp;E 24</v>
      </c>
      <c r="B30" s="32" t="s">
        <v>857</v>
      </c>
      <c r="C30" s="32" t="s">
        <v>818</v>
      </c>
      <c r="D30" s="38" t="s">
        <v>388</v>
      </c>
      <c r="E30" s="38" t="s">
        <v>389</v>
      </c>
      <c r="F30" s="27" t="s">
        <v>969</v>
      </c>
      <c r="G30" s="25"/>
      <c r="H30" s="26"/>
      <c r="I30" s="24"/>
      <c r="J30" s="25"/>
      <c r="K30" s="4"/>
      <c r="L30" s="4"/>
      <c r="M30" s="5"/>
      <c r="N30" s="4"/>
      <c r="O30" s="4"/>
      <c r="P30" s="4"/>
      <c r="Q30" s="4"/>
      <c r="R30" s="4"/>
      <c r="S30" s="4"/>
      <c r="T30" s="4"/>
      <c r="U30" s="4"/>
      <c r="V30" s="4"/>
      <c r="W30" s="4"/>
      <c r="X30" s="4"/>
      <c r="Y30" s="4"/>
      <c r="Z30" s="4"/>
      <c r="AA30" s="4"/>
      <c r="AB30" s="4"/>
      <c r="AC30" s="18"/>
      <c r="AD30" s="256" t="s">
        <v>982</v>
      </c>
      <c r="AE30" s="256" t="s">
        <v>982</v>
      </c>
      <c r="AF30" s="114">
        <v>1000</v>
      </c>
      <c r="AG30" s="256" t="s">
        <v>982</v>
      </c>
      <c r="AH30" s="256" t="s">
        <v>982</v>
      </c>
      <c r="AI30" s="114">
        <v>334</v>
      </c>
      <c r="AJ30" s="114">
        <v>1498.8</v>
      </c>
      <c r="AK30" s="115">
        <v>0.32</v>
      </c>
      <c r="AL30" s="114">
        <v>0</v>
      </c>
      <c r="AM30" s="114">
        <v>1287</v>
      </c>
      <c r="AN30" s="112">
        <v>0.2</v>
      </c>
      <c r="AO30" s="114">
        <v>0</v>
      </c>
      <c r="AP30" s="199">
        <f t="shared" si="4"/>
        <v>0.2595182595182595</v>
      </c>
      <c r="AQ30" s="449">
        <f t="shared" si="1"/>
        <v>1670</v>
      </c>
      <c r="AR30" s="449" t="str">
        <f t="shared" si="2"/>
        <v>NA</v>
      </c>
      <c r="AS30" s="4"/>
    </row>
    <row r="31" spans="1:45" ht="89.25">
      <c r="A31" s="147" t="str">
        <f>"PG&amp;E "&amp;25</f>
        <v>PG&amp;E 25</v>
      </c>
      <c r="B31" s="32" t="s">
        <v>858</v>
      </c>
      <c r="C31" s="32" t="s">
        <v>818</v>
      </c>
      <c r="D31" s="38" t="s">
        <v>379</v>
      </c>
      <c r="E31" s="38" t="s">
        <v>380</v>
      </c>
      <c r="F31" s="27" t="s">
        <v>969</v>
      </c>
      <c r="G31" s="25"/>
      <c r="H31" s="26"/>
      <c r="I31" s="24"/>
      <c r="J31" s="25"/>
      <c r="K31" s="4"/>
      <c r="L31" s="4"/>
      <c r="M31" s="5"/>
      <c r="N31" s="4"/>
      <c r="O31" s="4"/>
      <c r="P31" s="4"/>
      <c r="Q31" s="4"/>
      <c r="R31" s="4"/>
      <c r="S31" s="4"/>
      <c r="T31" s="4"/>
      <c r="U31" s="4"/>
      <c r="V31" s="4"/>
      <c r="W31" s="4"/>
      <c r="X31" s="4"/>
      <c r="Y31" s="4"/>
      <c r="Z31" s="4"/>
      <c r="AA31" s="4"/>
      <c r="AB31" s="4"/>
      <c r="AC31" s="18"/>
      <c r="AD31" s="256" t="s">
        <v>982</v>
      </c>
      <c r="AE31" s="256" t="s">
        <v>982</v>
      </c>
      <c r="AF31" s="114">
        <v>0</v>
      </c>
      <c r="AG31" s="256" t="s">
        <v>982</v>
      </c>
      <c r="AH31" s="256" t="s">
        <v>982</v>
      </c>
      <c r="AI31" s="114">
        <v>12</v>
      </c>
      <c r="AJ31" s="114">
        <v>0</v>
      </c>
      <c r="AK31" s="112">
        <v>0</v>
      </c>
      <c r="AL31" s="114">
        <v>0</v>
      </c>
      <c r="AM31" s="114">
        <v>0</v>
      </c>
      <c r="AN31" s="112">
        <v>0</v>
      </c>
      <c r="AO31" s="114">
        <v>0</v>
      </c>
      <c r="AP31" s="199" t="str">
        <f t="shared" si="4"/>
        <v>NA</v>
      </c>
      <c r="AQ31" s="449" t="str">
        <f t="shared" si="1"/>
        <v>NA</v>
      </c>
      <c r="AR31" s="449" t="str">
        <f t="shared" si="2"/>
        <v>NA</v>
      </c>
      <c r="AS31" s="4"/>
    </row>
    <row r="32" spans="1:45" ht="127.5">
      <c r="A32" s="147" t="str">
        <f>"PG&amp;E "&amp;26</f>
        <v>PG&amp;E 26</v>
      </c>
      <c r="B32" s="32" t="s">
        <v>870</v>
      </c>
      <c r="C32" s="32" t="s">
        <v>869</v>
      </c>
      <c r="D32" s="38" t="s">
        <v>284</v>
      </c>
      <c r="E32" s="38" t="s">
        <v>285</v>
      </c>
      <c r="F32" s="27" t="s">
        <v>969</v>
      </c>
      <c r="G32" s="25"/>
      <c r="H32" s="26"/>
      <c r="I32" s="24"/>
      <c r="J32" s="25"/>
      <c r="K32" s="4"/>
      <c r="L32" s="4"/>
      <c r="M32" s="5"/>
      <c r="N32" s="4"/>
      <c r="O32" s="4"/>
      <c r="P32" s="4"/>
      <c r="Q32" s="4"/>
      <c r="R32" s="4"/>
      <c r="S32" s="4"/>
      <c r="T32" s="4"/>
      <c r="U32" s="4"/>
      <c r="V32" s="4"/>
      <c r="W32" s="4"/>
      <c r="X32" s="4"/>
      <c r="Y32" s="4"/>
      <c r="Z32" s="4"/>
      <c r="AA32" s="4"/>
      <c r="AB32" s="4"/>
      <c r="AC32" s="18"/>
      <c r="AD32" s="256" t="s">
        <v>982</v>
      </c>
      <c r="AE32" s="256" t="s">
        <v>982</v>
      </c>
      <c r="AF32" s="114">
        <v>300</v>
      </c>
      <c r="AG32" s="256" t="s">
        <v>982</v>
      </c>
      <c r="AH32" s="256" t="s">
        <v>982</v>
      </c>
      <c r="AI32" s="114">
        <v>280</v>
      </c>
      <c r="AJ32" s="114">
        <v>0</v>
      </c>
      <c r="AK32" s="112">
        <v>0</v>
      </c>
      <c r="AL32" s="114">
        <v>0</v>
      </c>
      <c r="AM32" s="114">
        <v>0</v>
      </c>
      <c r="AN32" s="112">
        <v>0</v>
      </c>
      <c r="AO32" s="114">
        <v>0</v>
      </c>
      <c r="AP32" s="199" t="str">
        <f t="shared" si="4"/>
        <v>NA</v>
      </c>
      <c r="AQ32" s="449" t="str">
        <f t="shared" si="1"/>
        <v>NA</v>
      </c>
      <c r="AR32" s="449" t="str">
        <f t="shared" si="2"/>
        <v>NA</v>
      </c>
      <c r="AS32" s="4"/>
    </row>
    <row r="33" spans="1:45" ht="140.25">
      <c r="A33" s="147" t="str">
        <f>"PG&amp;E "&amp;27</f>
        <v>PG&amp;E 27</v>
      </c>
      <c r="B33" s="32" t="s">
        <v>892</v>
      </c>
      <c r="C33" s="32" t="s">
        <v>869</v>
      </c>
      <c r="D33" s="38" t="s">
        <v>350</v>
      </c>
      <c r="E33" s="38" t="s">
        <v>351</v>
      </c>
      <c r="F33" s="27" t="s">
        <v>969</v>
      </c>
      <c r="G33" s="25"/>
      <c r="H33" s="26"/>
      <c r="I33" s="24"/>
      <c r="J33" s="25"/>
      <c r="K33" s="4"/>
      <c r="L33" s="4"/>
      <c r="M33" s="5"/>
      <c r="N33" s="4"/>
      <c r="O33" s="4"/>
      <c r="P33" s="4"/>
      <c r="Q33" s="4"/>
      <c r="R33" s="4"/>
      <c r="S33" s="4"/>
      <c r="T33" s="4"/>
      <c r="U33" s="4"/>
      <c r="V33" s="4"/>
      <c r="W33" s="4"/>
      <c r="X33" s="4"/>
      <c r="Y33" s="4"/>
      <c r="Z33" s="4"/>
      <c r="AA33" s="4"/>
      <c r="AB33" s="4"/>
      <c r="AC33" s="18"/>
      <c r="AD33" s="256" t="s">
        <v>982</v>
      </c>
      <c r="AE33" s="256" t="s">
        <v>982</v>
      </c>
      <c r="AF33" s="114">
        <v>1900</v>
      </c>
      <c r="AG33" s="256" t="s">
        <v>982</v>
      </c>
      <c r="AH33" s="256" t="s">
        <v>982</v>
      </c>
      <c r="AI33" s="114">
        <v>1788</v>
      </c>
      <c r="AJ33" s="114">
        <v>0</v>
      </c>
      <c r="AK33" s="112">
        <v>0</v>
      </c>
      <c r="AL33" s="114">
        <v>0</v>
      </c>
      <c r="AM33" s="114">
        <v>0</v>
      </c>
      <c r="AN33" s="112">
        <v>0</v>
      </c>
      <c r="AO33" s="114">
        <v>0</v>
      </c>
      <c r="AP33" s="199" t="str">
        <f t="shared" si="4"/>
        <v>NA</v>
      </c>
      <c r="AQ33" s="449" t="str">
        <f t="shared" si="1"/>
        <v>NA</v>
      </c>
      <c r="AR33" s="449" t="str">
        <f t="shared" si="2"/>
        <v>NA</v>
      </c>
      <c r="AS33" s="4"/>
    </row>
    <row r="34" spans="1:45" ht="63.75">
      <c r="A34" s="147" t="str">
        <f>"PG&amp;E "&amp;28</f>
        <v>PG&amp;E 28</v>
      </c>
      <c r="B34" s="32" t="s">
        <v>894</v>
      </c>
      <c r="C34" s="32" t="s">
        <v>893</v>
      </c>
      <c r="D34" s="38" t="s">
        <v>378</v>
      </c>
      <c r="E34" s="38" t="s">
        <v>390</v>
      </c>
      <c r="F34" s="27" t="s">
        <v>969</v>
      </c>
      <c r="G34" s="25"/>
      <c r="H34" s="26"/>
      <c r="I34" s="24"/>
      <c r="J34" s="25"/>
      <c r="K34" s="4"/>
      <c r="L34" s="4"/>
      <c r="M34" s="5"/>
      <c r="N34" s="4"/>
      <c r="O34" s="4"/>
      <c r="P34" s="4"/>
      <c r="Q34" s="4"/>
      <c r="R34" s="4"/>
      <c r="S34" s="4"/>
      <c r="T34" s="4"/>
      <c r="U34" s="4"/>
      <c r="V34" s="4"/>
      <c r="W34" s="4"/>
      <c r="X34" s="4"/>
      <c r="Y34" s="4"/>
      <c r="Z34" s="4"/>
      <c r="AA34" s="4"/>
      <c r="AB34" s="4"/>
      <c r="AC34" s="18"/>
      <c r="AD34" s="256" t="s">
        <v>982</v>
      </c>
      <c r="AE34" s="256" t="s">
        <v>982</v>
      </c>
      <c r="AF34" s="114">
        <v>2000</v>
      </c>
      <c r="AG34" s="256" t="s">
        <v>982</v>
      </c>
      <c r="AH34" s="256" t="s">
        <v>982</v>
      </c>
      <c r="AI34" s="114">
        <v>15577</v>
      </c>
      <c r="AJ34" s="114">
        <v>2555.7</v>
      </c>
      <c r="AK34" s="115">
        <v>7.7</v>
      </c>
      <c r="AL34" s="114">
        <v>20</v>
      </c>
      <c r="AM34" s="114">
        <v>144269</v>
      </c>
      <c r="AN34" s="112">
        <v>26.85</v>
      </c>
      <c r="AO34" s="114">
        <v>563</v>
      </c>
      <c r="AP34" s="199">
        <f t="shared" si="4"/>
        <v>0.10797191357810756</v>
      </c>
      <c r="AQ34" s="449">
        <f t="shared" si="1"/>
        <v>580.1489757914338</v>
      </c>
      <c r="AR34" s="449">
        <f t="shared" si="2"/>
        <v>27.66785079928952</v>
      </c>
      <c r="AS34" s="4"/>
    </row>
    <row r="35" spans="1:45" ht="89.25">
      <c r="A35" s="147" t="str">
        <f>"PG&amp;E "&amp;29</f>
        <v>PG&amp;E 29</v>
      </c>
      <c r="B35" s="32" t="s">
        <v>895</v>
      </c>
      <c r="C35" s="32" t="s">
        <v>893</v>
      </c>
      <c r="D35" s="38" t="s">
        <v>352</v>
      </c>
      <c r="E35" s="38" t="s">
        <v>353</v>
      </c>
      <c r="F35" s="27" t="s">
        <v>969</v>
      </c>
      <c r="G35" s="25"/>
      <c r="H35" s="26"/>
      <c r="I35" s="24"/>
      <c r="J35" s="25"/>
      <c r="K35" s="4"/>
      <c r="L35" s="4"/>
      <c r="M35" s="5"/>
      <c r="N35" s="4"/>
      <c r="O35" s="4"/>
      <c r="P35" s="4"/>
      <c r="Q35" s="4"/>
      <c r="R35" s="4"/>
      <c r="S35" s="4"/>
      <c r="T35" s="4"/>
      <c r="U35" s="4"/>
      <c r="V35" s="4"/>
      <c r="W35" s="4"/>
      <c r="X35" s="4"/>
      <c r="Y35" s="4"/>
      <c r="Z35" s="4"/>
      <c r="AA35" s="4"/>
      <c r="AB35" s="4"/>
      <c r="AC35" s="18"/>
      <c r="AD35" s="256" t="s">
        <v>982</v>
      </c>
      <c r="AE35" s="256" t="s">
        <v>982</v>
      </c>
      <c r="AF35" s="114">
        <v>1900</v>
      </c>
      <c r="AG35" s="256" t="s">
        <v>982</v>
      </c>
      <c r="AH35" s="256" t="s">
        <v>982</v>
      </c>
      <c r="AI35" s="114">
        <v>2411</v>
      </c>
      <c r="AJ35" s="114">
        <v>0</v>
      </c>
      <c r="AK35" s="112">
        <v>0</v>
      </c>
      <c r="AL35" s="114">
        <v>0</v>
      </c>
      <c r="AM35" s="114">
        <v>0</v>
      </c>
      <c r="AN35" s="112">
        <v>0</v>
      </c>
      <c r="AO35" s="114">
        <v>0</v>
      </c>
      <c r="AP35" s="199" t="str">
        <f t="shared" si="4"/>
        <v>NA</v>
      </c>
      <c r="AQ35" s="449" t="str">
        <f t="shared" si="1"/>
        <v>NA</v>
      </c>
      <c r="AR35" s="449" t="str">
        <f t="shared" si="2"/>
        <v>NA</v>
      </c>
      <c r="AS35" s="4"/>
    </row>
    <row r="36" spans="2:45" ht="12.75">
      <c r="B36" s="301" t="s">
        <v>1142</v>
      </c>
      <c r="C36" s="301" t="s">
        <v>1144</v>
      </c>
      <c r="D36" s="302"/>
      <c r="E36" s="302"/>
      <c r="F36" s="352"/>
      <c r="G36" s="304"/>
      <c r="H36" s="303"/>
      <c r="I36" s="304"/>
      <c r="J36" s="304"/>
      <c r="K36" s="259"/>
      <c r="L36" s="259"/>
      <c r="M36" s="260"/>
      <c r="N36" s="259"/>
      <c r="O36" s="259"/>
      <c r="P36" s="259"/>
      <c r="Q36" s="259"/>
      <c r="R36" s="259"/>
      <c r="S36" s="259"/>
      <c r="T36" s="259"/>
      <c r="U36" s="259"/>
      <c r="V36" s="259"/>
      <c r="W36" s="259"/>
      <c r="X36" s="259"/>
      <c r="Y36" s="259"/>
      <c r="Z36" s="259"/>
      <c r="AA36" s="259"/>
      <c r="AB36" s="259"/>
      <c r="AC36" s="305"/>
      <c r="AD36" s="261">
        <f>SUM(AD22:AD35)</f>
        <v>0</v>
      </c>
      <c r="AE36" s="261">
        <f aca="true" t="shared" si="5" ref="AE36:AO36">SUM(AE22:AE35)</f>
        <v>0</v>
      </c>
      <c r="AF36" s="261">
        <f t="shared" si="5"/>
        <v>63140</v>
      </c>
      <c r="AG36" s="261">
        <f t="shared" si="5"/>
        <v>26711</v>
      </c>
      <c r="AH36" s="261">
        <f t="shared" si="5"/>
        <v>12734</v>
      </c>
      <c r="AI36" s="261">
        <f t="shared" si="5"/>
        <v>62558</v>
      </c>
      <c r="AJ36" s="261">
        <f t="shared" si="5"/>
        <v>132131.7</v>
      </c>
      <c r="AK36" s="261">
        <f t="shared" si="5"/>
        <v>36.68</v>
      </c>
      <c r="AL36" s="261">
        <f t="shared" si="5"/>
        <v>1220.5</v>
      </c>
      <c r="AM36" s="261">
        <f t="shared" si="5"/>
        <v>363065</v>
      </c>
      <c r="AN36" s="261">
        <f t="shared" si="5"/>
        <v>66.82000000000001</v>
      </c>
      <c r="AO36" s="261">
        <f t="shared" si="5"/>
        <v>6285</v>
      </c>
      <c r="AP36" s="353">
        <f t="shared" si="4"/>
        <v>0.17230523459986505</v>
      </c>
      <c r="AQ36" s="450">
        <f t="shared" si="1"/>
        <v>936.2167015863513</v>
      </c>
      <c r="AR36" s="450">
        <f t="shared" si="2"/>
        <v>9.953540175019889</v>
      </c>
      <c r="AS36" s="259"/>
    </row>
    <row r="37" spans="1:45" ht="140.25">
      <c r="A37" s="147" t="str">
        <f>"PG&amp;E "&amp;30</f>
        <v>PG&amp;E 30</v>
      </c>
      <c r="B37" s="32" t="s">
        <v>169</v>
      </c>
      <c r="C37" s="32" t="s">
        <v>168</v>
      </c>
      <c r="D37" s="38" t="s">
        <v>790</v>
      </c>
      <c r="E37" s="38" t="s">
        <v>791</v>
      </c>
      <c r="F37" s="27" t="s">
        <v>969</v>
      </c>
      <c r="G37" s="25"/>
      <c r="H37" s="26"/>
      <c r="I37" s="24"/>
      <c r="J37" s="25"/>
      <c r="K37" s="4"/>
      <c r="L37" s="4"/>
      <c r="M37" s="5"/>
      <c r="N37" s="4"/>
      <c r="O37" s="4"/>
      <c r="P37" s="4"/>
      <c r="Q37" s="4"/>
      <c r="R37" s="4"/>
      <c r="S37" s="4"/>
      <c r="T37" s="4"/>
      <c r="U37" s="4"/>
      <c r="V37" s="4"/>
      <c r="W37" s="4"/>
      <c r="X37" s="4"/>
      <c r="Y37" s="4"/>
      <c r="Z37" s="4"/>
      <c r="AA37" s="4"/>
      <c r="AB37" s="4"/>
      <c r="AC37" s="18"/>
      <c r="AD37" s="256" t="s">
        <v>982</v>
      </c>
      <c r="AE37" s="256" t="s">
        <v>982</v>
      </c>
      <c r="AF37" s="114">
        <v>4940</v>
      </c>
      <c r="AG37" s="256" t="s">
        <v>982</v>
      </c>
      <c r="AH37" s="256" t="s">
        <v>982</v>
      </c>
      <c r="AI37" s="114">
        <v>4218</v>
      </c>
      <c r="AJ37" s="114">
        <v>0</v>
      </c>
      <c r="AK37" s="112">
        <v>0</v>
      </c>
      <c r="AL37" s="114">
        <v>0</v>
      </c>
      <c r="AM37" s="114">
        <v>0</v>
      </c>
      <c r="AN37" s="112">
        <v>0</v>
      </c>
      <c r="AO37" s="114">
        <v>0</v>
      </c>
      <c r="AP37" s="199" t="str">
        <f aca="true" t="shared" si="6" ref="AP37:AP51">IF(AM37=0,"NA",AI37/AM37)</f>
        <v>NA</v>
      </c>
      <c r="AQ37" s="449" t="str">
        <f t="shared" si="1"/>
        <v>NA</v>
      </c>
      <c r="AR37" s="449" t="str">
        <f t="shared" si="2"/>
        <v>NA</v>
      </c>
      <c r="AS37" s="4" t="s">
        <v>792</v>
      </c>
    </row>
    <row r="38" spans="1:45" ht="89.25">
      <c r="A38" s="147" t="str">
        <f>"PG&amp;E "&amp;31</f>
        <v>PG&amp;E 31</v>
      </c>
      <c r="B38" s="32" t="s">
        <v>170</v>
      </c>
      <c r="C38" s="32" t="s">
        <v>168</v>
      </c>
      <c r="D38" s="38" t="s">
        <v>793</v>
      </c>
      <c r="E38" s="38" t="s">
        <v>819</v>
      </c>
      <c r="F38" s="27" t="s">
        <v>969</v>
      </c>
      <c r="G38" s="25"/>
      <c r="H38" s="26"/>
      <c r="I38" s="24"/>
      <c r="J38" s="25"/>
      <c r="K38" s="4"/>
      <c r="L38" s="4"/>
      <c r="M38" s="5"/>
      <c r="N38" s="4"/>
      <c r="O38" s="4"/>
      <c r="P38" s="4"/>
      <c r="Q38" s="4"/>
      <c r="R38" s="4"/>
      <c r="S38" s="4"/>
      <c r="T38" s="4"/>
      <c r="U38" s="4"/>
      <c r="V38" s="4"/>
      <c r="W38" s="4"/>
      <c r="X38" s="4"/>
      <c r="Y38" s="4"/>
      <c r="Z38" s="4"/>
      <c r="AA38" s="4"/>
      <c r="AB38" s="4"/>
      <c r="AC38" s="18"/>
      <c r="AD38" s="256" t="s">
        <v>982</v>
      </c>
      <c r="AE38" s="256" t="s">
        <v>982</v>
      </c>
      <c r="AF38" s="114">
        <v>616</v>
      </c>
      <c r="AG38" s="256" t="s">
        <v>982</v>
      </c>
      <c r="AH38" s="256" t="s">
        <v>982</v>
      </c>
      <c r="AI38" s="114">
        <v>643</v>
      </c>
      <c r="AJ38" s="114">
        <v>0</v>
      </c>
      <c r="AK38" s="112">
        <v>0</v>
      </c>
      <c r="AL38" s="114">
        <v>0</v>
      </c>
      <c r="AM38" s="114">
        <v>0</v>
      </c>
      <c r="AN38" s="112">
        <v>0</v>
      </c>
      <c r="AO38" s="114">
        <v>0</v>
      </c>
      <c r="AP38" s="199" t="str">
        <f t="shared" si="6"/>
        <v>NA</v>
      </c>
      <c r="AQ38" s="449" t="str">
        <f t="shared" si="1"/>
        <v>NA</v>
      </c>
      <c r="AR38" s="449" t="str">
        <f t="shared" si="2"/>
        <v>NA</v>
      </c>
      <c r="AS38" s="4" t="s">
        <v>820</v>
      </c>
    </row>
    <row r="39" spans="1:45" ht="76.5">
      <c r="A39" s="147" t="str">
        <f>"PG&amp;E "&amp;32</f>
        <v>PG&amp;E 32</v>
      </c>
      <c r="B39" s="32" t="s">
        <v>171</v>
      </c>
      <c r="C39" s="32" t="s">
        <v>168</v>
      </c>
      <c r="D39" s="38" t="s">
        <v>821</v>
      </c>
      <c r="E39" s="38" t="s">
        <v>822</v>
      </c>
      <c r="F39" s="27" t="s">
        <v>969</v>
      </c>
      <c r="G39" s="25"/>
      <c r="H39" s="26"/>
      <c r="I39" s="24"/>
      <c r="J39" s="25"/>
      <c r="K39" s="4"/>
      <c r="L39" s="4"/>
      <c r="M39" s="5"/>
      <c r="N39" s="4"/>
      <c r="O39" s="4"/>
      <c r="P39" s="4"/>
      <c r="Q39" s="4"/>
      <c r="R39" s="4"/>
      <c r="S39" s="4"/>
      <c r="T39" s="4"/>
      <c r="U39" s="4"/>
      <c r="V39" s="4"/>
      <c r="W39" s="4"/>
      <c r="X39" s="4"/>
      <c r="Y39" s="4"/>
      <c r="Z39" s="4"/>
      <c r="AA39" s="4"/>
      <c r="AB39" s="4"/>
      <c r="AC39" s="18"/>
      <c r="AD39" s="256" t="s">
        <v>982</v>
      </c>
      <c r="AE39" s="256" t="s">
        <v>982</v>
      </c>
      <c r="AF39" s="114">
        <v>348</v>
      </c>
      <c r="AG39" s="256" t="s">
        <v>982</v>
      </c>
      <c r="AH39" s="114">
        <v>24</v>
      </c>
      <c r="AI39" s="114">
        <v>385</v>
      </c>
      <c r="AJ39" s="114">
        <v>0</v>
      </c>
      <c r="AK39" s="112">
        <v>0</v>
      </c>
      <c r="AL39" s="114">
        <v>0</v>
      </c>
      <c r="AM39" s="114">
        <v>0</v>
      </c>
      <c r="AN39" s="112">
        <v>0</v>
      </c>
      <c r="AO39" s="114">
        <v>0</v>
      </c>
      <c r="AP39" s="199" t="str">
        <f t="shared" si="6"/>
        <v>NA</v>
      </c>
      <c r="AQ39" s="449" t="str">
        <f t="shared" si="1"/>
        <v>NA</v>
      </c>
      <c r="AR39" s="449" t="str">
        <f t="shared" si="2"/>
        <v>NA</v>
      </c>
      <c r="AS39" s="4"/>
    </row>
    <row r="40" spans="1:45" ht="63.75">
      <c r="A40" s="147" t="str">
        <f>"PG&amp;E "&amp;33</f>
        <v>PG&amp;E 33</v>
      </c>
      <c r="B40" s="32" t="s">
        <v>172</v>
      </c>
      <c r="C40" s="32" t="s">
        <v>168</v>
      </c>
      <c r="D40" s="38" t="s">
        <v>824</v>
      </c>
      <c r="E40" s="38" t="s">
        <v>825</v>
      </c>
      <c r="F40" s="27" t="s">
        <v>969</v>
      </c>
      <c r="G40" s="25"/>
      <c r="H40" s="26"/>
      <c r="I40" s="24"/>
      <c r="J40" s="25"/>
      <c r="K40" s="4"/>
      <c r="L40" s="4"/>
      <c r="M40" s="5"/>
      <c r="N40" s="4"/>
      <c r="O40" s="4"/>
      <c r="P40" s="4"/>
      <c r="Q40" s="4"/>
      <c r="R40" s="4"/>
      <c r="S40" s="4"/>
      <c r="T40" s="4"/>
      <c r="U40" s="4"/>
      <c r="V40" s="4"/>
      <c r="W40" s="4"/>
      <c r="X40" s="4"/>
      <c r="Y40" s="4"/>
      <c r="Z40" s="4"/>
      <c r="AA40" s="4"/>
      <c r="AB40" s="4"/>
      <c r="AC40" s="18"/>
      <c r="AD40" s="256" t="s">
        <v>982</v>
      </c>
      <c r="AE40" s="256" t="s">
        <v>982</v>
      </c>
      <c r="AF40" s="114">
        <v>421</v>
      </c>
      <c r="AG40" s="256" t="s">
        <v>982</v>
      </c>
      <c r="AH40" s="256" t="s">
        <v>982</v>
      </c>
      <c r="AI40" s="114">
        <v>42</v>
      </c>
      <c r="AJ40" s="114">
        <v>0</v>
      </c>
      <c r="AK40" s="112">
        <v>0</v>
      </c>
      <c r="AL40" s="114">
        <v>0</v>
      </c>
      <c r="AM40" s="114">
        <v>0</v>
      </c>
      <c r="AN40" s="112">
        <v>0</v>
      </c>
      <c r="AO40" s="114">
        <v>0</v>
      </c>
      <c r="AP40" s="199" t="str">
        <f t="shared" si="6"/>
        <v>NA</v>
      </c>
      <c r="AQ40" s="449" t="str">
        <f t="shared" si="1"/>
        <v>NA</v>
      </c>
      <c r="AR40" s="449" t="str">
        <f t="shared" si="2"/>
        <v>NA</v>
      </c>
      <c r="AS40" s="4"/>
    </row>
    <row r="41" spans="1:45" ht="114.75">
      <c r="A41" s="147" t="str">
        <f>"PG&amp;E "&amp;34</f>
        <v>PG&amp;E 34</v>
      </c>
      <c r="B41" s="32" t="s">
        <v>697</v>
      </c>
      <c r="C41" s="32" t="s">
        <v>168</v>
      </c>
      <c r="D41" s="40" t="s">
        <v>794</v>
      </c>
      <c r="E41" s="38" t="s">
        <v>795</v>
      </c>
      <c r="F41" s="27" t="s">
        <v>969</v>
      </c>
      <c r="G41" s="28"/>
      <c r="H41" s="29"/>
      <c r="I41" s="27"/>
      <c r="J41" s="28"/>
      <c r="K41" s="1" t="s">
        <v>1208</v>
      </c>
      <c r="L41" s="1" t="s">
        <v>1209</v>
      </c>
      <c r="M41" s="3" t="s">
        <v>1210</v>
      </c>
      <c r="N41" s="1" t="s">
        <v>1211</v>
      </c>
      <c r="O41" s="1"/>
      <c r="P41" s="1"/>
      <c r="Q41" s="1" t="s">
        <v>1212</v>
      </c>
      <c r="R41" s="1" t="s">
        <v>1213</v>
      </c>
      <c r="S41" s="3" t="s">
        <v>1214</v>
      </c>
      <c r="T41" s="1" t="s">
        <v>1215</v>
      </c>
      <c r="U41" s="1"/>
      <c r="V41" s="1"/>
      <c r="W41" s="1" t="s">
        <v>1216</v>
      </c>
      <c r="X41" s="1" t="s">
        <v>1217</v>
      </c>
      <c r="Y41" s="1"/>
      <c r="Z41" s="1" t="s">
        <v>1218</v>
      </c>
      <c r="AA41" s="1"/>
      <c r="AB41" s="1" t="s">
        <v>1219</v>
      </c>
      <c r="AC41" s="44"/>
      <c r="AD41" s="256" t="s">
        <v>982</v>
      </c>
      <c r="AE41" s="256" t="s">
        <v>982</v>
      </c>
      <c r="AF41" s="114">
        <v>5397</v>
      </c>
      <c r="AG41" s="114">
        <f>AI41-AH41</f>
        <v>1890</v>
      </c>
      <c r="AH41" s="114">
        <v>4500</v>
      </c>
      <c r="AI41" s="114">
        <v>6390</v>
      </c>
      <c r="AJ41" s="114">
        <v>5980</v>
      </c>
      <c r="AK41" s="115">
        <v>4.116</v>
      </c>
      <c r="AL41" s="114">
        <v>234.2</v>
      </c>
      <c r="AM41" s="114">
        <v>7232</v>
      </c>
      <c r="AN41" s="112">
        <v>4.81</v>
      </c>
      <c r="AO41" s="256">
        <v>-10</v>
      </c>
      <c r="AP41" s="199">
        <f t="shared" si="6"/>
        <v>0.8835730088495575</v>
      </c>
      <c r="AQ41" s="449">
        <f t="shared" si="1"/>
        <v>1328.4823284823285</v>
      </c>
      <c r="AR41" s="449">
        <f t="shared" si="2"/>
        <v>-639</v>
      </c>
      <c r="AS41" s="1" t="s">
        <v>1220</v>
      </c>
    </row>
    <row r="42" spans="1:45" ht="89.25">
      <c r="A42" s="147" t="str">
        <f>"PG&amp;E "&amp;35</f>
        <v>PG&amp;E 35</v>
      </c>
      <c r="B42" s="32" t="s">
        <v>173</v>
      </c>
      <c r="C42" s="32" t="s">
        <v>168</v>
      </c>
      <c r="D42" s="38" t="s">
        <v>796</v>
      </c>
      <c r="E42" s="38" t="s">
        <v>797</v>
      </c>
      <c r="F42" s="27" t="s">
        <v>969</v>
      </c>
      <c r="G42" s="25"/>
      <c r="H42" s="26"/>
      <c r="I42" s="24"/>
      <c r="J42" s="25"/>
      <c r="K42" s="4"/>
      <c r="L42" s="4"/>
      <c r="M42" s="5"/>
      <c r="N42" s="4"/>
      <c r="O42" s="4"/>
      <c r="P42" s="4"/>
      <c r="Q42" s="4"/>
      <c r="R42" s="4"/>
      <c r="S42" s="4"/>
      <c r="T42" s="4"/>
      <c r="U42" s="4"/>
      <c r="V42" s="4"/>
      <c r="W42" s="4"/>
      <c r="X42" s="4"/>
      <c r="Y42" s="4"/>
      <c r="Z42" s="4"/>
      <c r="AA42" s="4"/>
      <c r="AB42" s="4"/>
      <c r="AC42" s="18"/>
      <c r="AD42" s="256" t="s">
        <v>982</v>
      </c>
      <c r="AE42" s="256" t="s">
        <v>982</v>
      </c>
      <c r="AF42" s="114">
        <v>316</v>
      </c>
      <c r="AG42" s="256" t="s">
        <v>982</v>
      </c>
      <c r="AH42" s="256" t="s">
        <v>982</v>
      </c>
      <c r="AI42" s="114">
        <v>63</v>
      </c>
      <c r="AJ42" s="114">
        <v>0</v>
      </c>
      <c r="AK42" s="112">
        <v>0</v>
      </c>
      <c r="AL42" s="114">
        <v>0</v>
      </c>
      <c r="AM42" s="114">
        <v>0</v>
      </c>
      <c r="AN42" s="112">
        <v>0</v>
      </c>
      <c r="AO42" s="114">
        <v>0</v>
      </c>
      <c r="AP42" s="199" t="str">
        <f t="shared" si="6"/>
        <v>NA</v>
      </c>
      <c r="AQ42" s="449" t="str">
        <f t="shared" si="1"/>
        <v>NA</v>
      </c>
      <c r="AR42" s="449" t="str">
        <f t="shared" si="2"/>
        <v>NA</v>
      </c>
      <c r="AS42" s="4"/>
    </row>
    <row r="43" spans="1:45" ht="76.5">
      <c r="A43" s="147" t="str">
        <f>"PG&amp;E "&amp;36</f>
        <v>PG&amp;E 36</v>
      </c>
      <c r="B43" s="32" t="s">
        <v>614</v>
      </c>
      <c r="C43" s="32" t="s">
        <v>174</v>
      </c>
      <c r="D43" s="40" t="s">
        <v>798</v>
      </c>
      <c r="E43" s="38" t="s">
        <v>799</v>
      </c>
      <c r="F43" s="27" t="s">
        <v>969</v>
      </c>
      <c r="G43" s="28"/>
      <c r="H43" s="29"/>
      <c r="I43" s="27"/>
      <c r="J43" s="28"/>
      <c r="K43" s="1" t="s">
        <v>1221</v>
      </c>
      <c r="L43" s="1" t="s">
        <v>1222</v>
      </c>
      <c r="M43" s="3" t="s">
        <v>1223</v>
      </c>
      <c r="N43" s="1" t="s">
        <v>1224</v>
      </c>
      <c r="O43" s="19" t="s">
        <v>1225</v>
      </c>
      <c r="P43" s="3" t="s">
        <v>1226</v>
      </c>
      <c r="Q43" s="1" t="s">
        <v>1212</v>
      </c>
      <c r="R43" s="1" t="s">
        <v>1213</v>
      </c>
      <c r="S43" s="3" t="s">
        <v>1214</v>
      </c>
      <c r="T43" s="1" t="s">
        <v>1227</v>
      </c>
      <c r="U43" s="1" t="s">
        <v>1228</v>
      </c>
      <c r="V43" s="3" t="s">
        <v>1229</v>
      </c>
      <c r="W43" s="1" t="s">
        <v>1230</v>
      </c>
      <c r="X43" s="1" t="s">
        <v>1231</v>
      </c>
      <c r="Y43" s="1"/>
      <c r="Z43" s="1" t="s">
        <v>1232</v>
      </c>
      <c r="AA43" s="1"/>
      <c r="AB43" s="1" t="s">
        <v>1233</v>
      </c>
      <c r="AC43" s="44"/>
      <c r="AD43" s="256" t="s">
        <v>982</v>
      </c>
      <c r="AE43" s="256" t="s">
        <v>982</v>
      </c>
      <c r="AF43" s="114">
        <v>10045</v>
      </c>
      <c r="AG43" s="114">
        <f>AI43-AH43</f>
        <v>4104</v>
      </c>
      <c r="AH43" s="114">
        <v>7000</v>
      </c>
      <c r="AI43" s="114">
        <v>11104</v>
      </c>
      <c r="AJ43" s="114">
        <v>27700.5</v>
      </c>
      <c r="AK43" s="115">
        <v>14.568</v>
      </c>
      <c r="AL43" s="114">
        <v>36.375</v>
      </c>
      <c r="AM43" s="114">
        <v>41917</v>
      </c>
      <c r="AN43" s="112">
        <v>16.81</v>
      </c>
      <c r="AO43" s="114">
        <v>425</v>
      </c>
      <c r="AP43" s="199">
        <f t="shared" si="6"/>
        <v>0.2649044540401269</v>
      </c>
      <c r="AQ43" s="449">
        <f t="shared" si="1"/>
        <v>660.5591909577632</v>
      </c>
      <c r="AR43" s="449">
        <f t="shared" si="2"/>
        <v>26.127058823529413</v>
      </c>
      <c r="AS43" s="1" t="s">
        <v>1234</v>
      </c>
    </row>
    <row r="44" spans="1:45" ht="76.5">
      <c r="A44" s="147" t="str">
        <f>"PG&amp;E "&amp;37</f>
        <v>PG&amp;E 37</v>
      </c>
      <c r="B44" s="32" t="s">
        <v>562</v>
      </c>
      <c r="C44" s="32" t="s">
        <v>174</v>
      </c>
      <c r="D44" s="38" t="s">
        <v>800</v>
      </c>
      <c r="E44" s="38" t="s">
        <v>60</v>
      </c>
      <c r="F44" s="27" t="s">
        <v>969</v>
      </c>
      <c r="G44" s="25"/>
      <c r="H44" s="26"/>
      <c r="I44" s="24"/>
      <c r="J44" s="25"/>
      <c r="K44" s="4"/>
      <c r="L44" s="4"/>
      <c r="M44" s="5"/>
      <c r="N44" s="4"/>
      <c r="O44" s="4"/>
      <c r="P44" s="4"/>
      <c r="Q44" s="4"/>
      <c r="R44" s="4"/>
      <c r="S44" s="4"/>
      <c r="T44" s="4"/>
      <c r="U44" s="4"/>
      <c r="V44" s="4"/>
      <c r="W44" s="4"/>
      <c r="X44" s="4"/>
      <c r="Y44" s="4"/>
      <c r="Z44" s="4"/>
      <c r="AA44" s="4"/>
      <c r="AB44" s="4"/>
      <c r="AC44" s="18"/>
      <c r="AD44" s="256" t="s">
        <v>982</v>
      </c>
      <c r="AE44" s="256" t="s">
        <v>982</v>
      </c>
      <c r="AF44" s="114">
        <v>1988</v>
      </c>
      <c r="AG44" s="256" t="s">
        <v>982</v>
      </c>
      <c r="AH44" s="256" t="s">
        <v>982</v>
      </c>
      <c r="AI44" s="114">
        <v>1706</v>
      </c>
      <c r="AJ44" s="114">
        <v>0</v>
      </c>
      <c r="AK44" s="112">
        <v>0</v>
      </c>
      <c r="AL44" s="114">
        <v>0</v>
      </c>
      <c r="AM44" s="114">
        <v>0</v>
      </c>
      <c r="AN44" s="112">
        <v>0</v>
      </c>
      <c r="AO44" s="114">
        <v>0</v>
      </c>
      <c r="AP44" s="199" t="str">
        <f t="shared" si="6"/>
        <v>NA</v>
      </c>
      <c r="AQ44" s="449" t="str">
        <f t="shared" si="1"/>
        <v>NA</v>
      </c>
      <c r="AR44" s="449" t="str">
        <f t="shared" si="2"/>
        <v>NA</v>
      </c>
      <c r="AS44" s="4" t="s">
        <v>61</v>
      </c>
    </row>
    <row r="45" spans="1:45" ht="89.25">
      <c r="A45" s="147" t="str">
        <f>"PG&amp;E "&amp;38</f>
        <v>PG&amp;E 38</v>
      </c>
      <c r="B45" s="32" t="s">
        <v>176</v>
      </c>
      <c r="C45" s="32" t="s">
        <v>175</v>
      </c>
      <c r="D45" s="38" t="s">
        <v>65</v>
      </c>
      <c r="E45" s="38" t="s">
        <v>64</v>
      </c>
      <c r="F45" s="27" t="s">
        <v>969</v>
      </c>
      <c r="G45" s="25"/>
      <c r="H45" s="26"/>
      <c r="I45" s="24"/>
      <c r="J45" s="25"/>
      <c r="K45" s="4"/>
      <c r="L45" s="4"/>
      <c r="M45" s="5"/>
      <c r="N45" s="4"/>
      <c r="O45" s="4"/>
      <c r="P45" s="4"/>
      <c r="Q45" s="4"/>
      <c r="R45" s="4"/>
      <c r="S45" s="4"/>
      <c r="T45" s="4"/>
      <c r="U45" s="4"/>
      <c r="V45" s="4"/>
      <c r="W45" s="4"/>
      <c r="X45" s="4"/>
      <c r="Y45" s="4"/>
      <c r="Z45" s="4"/>
      <c r="AA45" s="4"/>
      <c r="AB45" s="4"/>
      <c r="AC45" s="18"/>
      <c r="AD45" s="256" t="s">
        <v>982</v>
      </c>
      <c r="AE45" s="256" t="s">
        <v>982</v>
      </c>
      <c r="AF45" s="114">
        <v>2119</v>
      </c>
      <c r="AG45" s="256" t="s">
        <v>982</v>
      </c>
      <c r="AH45" s="256" t="s">
        <v>982</v>
      </c>
      <c r="AI45" s="114">
        <v>2269</v>
      </c>
      <c r="AJ45" s="114">
        <v>0</v>
      </c>
      <c r="AK45" s="112">
        <v>0</v>
      </c>
      <c r="AL45" s="114">
        <v>0</v>
      </c>
      <c r="AM45" s="114">
        <v>0</v>
      </c>
      <c r="AN45" s="112">
        <v>0</v>
      </c>
      <c r="AO45" s="114">
        <v>0</v>
      </c>
      <c r="AP45" s="199" t="str">
        <f t="shared" si="6"/>
        <v>NA</v>
      </c>
      <c r="AQ45" s="449" t="str">
        <f t="shared" si="1"/>
        <v>NA</v>
      </c>
      <c r="AR45" s="449" t="str">
        <f t="shared" si="2"/>
        <v>NA</v>
      </c>
      <c r="AS45" s="4" t="s">
        <v>66</v>
      </c>
    </row>
    <row r="46" spans="1:45" ht="51">
      <c r="A46" s="147" t="str">
        <f>"PG&amp;E "&amp;39</f>
        <v>PG&amp;E 39</v>
      </c>
      <c r="B46" s="32" t="s">
        <v>896</v>
      </c>
      <c r="C46" s="32" t="s">
        <v>175</v>
      </c>
      <c r="D46" s="38" t="s">
        <v>62</v>
      </c>
      <c r="E46" s="38" t="s">
        <v>63</v>
      </c>
      <c r="F46" s="27" t="s">
        <v>969</v>
      </c>
      <c r="G46" s="25"/>
      <c r="H46" s="26"/>
      <c r="I46" s="24"/>
      <c r="J46" s="25"/>
      <c r="K46" s="4"/>
      <c r="L46" s="4"/>
      <c r="M46" s="5"/>
      <c r="N46" s="4"/>
      <c r="O46" s="4"/>
      <c r="P46" s="4"/>
      <c r="Q46" s="4"/>
      <c r="R46" s="4"/>
      <c r="S46" s="4"/>
      <c r="T46" s="4"/>
      <c r="U46" s="4"/>
      <c r="V46" s="4"/>
      <c r="W46" s="4"/>
      <c r="X46" s="4"/>
      <c r="Y46" s="4"/>
      <c r="Z46" s="4"/>
      <c r="AA46" s="4"/>
      <c r="AB46" s="4"/>
      <c r="AC46" s="18"/>
      <c r="AD46" s="256" t="s">
        <v>982</v>
      </c>
      <c r="AE46" s="256" t="s">
        <v>982</v>
      </c>
      <c r="AF46" s="114">
        <v>180</v>
      </c>
      <c r="AG46" s="256" t="s">
        <v>982</v>
      </c>
      <c r="AH46" s="256" t="s">
        <v>982</v>
      </c>
      <c r="AI46" s="114">
        <v>6</v>
      </c>
      <c r="AJ46" s="114"/>
      <c r="AK46" s="112"/>
      <c r="AL46" s="114"/>
      <c r="AM46" s="114">
        <v>0</v>
      </c>
      <c r="AN46" s="112">
        <v>0</v>
      </c>
      <c r="AO46" s="114">
        <v>0</v>
      </c>
      <c r="AP46" s="199" t="str">
        <f t="shared" si="6"/>
        <v>NA</v>
      </c>
      <c r="AQ46" s="449" t="str">
        <f t="shared" si="1"/>
        <v>NA</v>
      </c>
      <c r="AR46" s="449" t="str">
        <f t="shared" si="2"/>
        <v>NA</v>
      </c>
      <c r="AS46" s="4"/>
    </row>
    <row r="47" spans="1:45" ht="76.5">
      <c r="A47" s="147" t="str">
        <f>"PG&amp;E "&amp;40</f>
        <v>PG&amp;E 40</v>
      </c>
      <c r="B47" s="32" t="s">
        <v>178</v>
      </c>
      <c r="C47" s="32" t="s">
        <v>177</v>
      </c>
      <c r="D47" s="38" t="s">
        <v>67</v>
      </c>
      <c r="E47" s="38" t="s">
        <v>68</v>
      </c>
      <c r="F47" s="27" t="s">
        <v>969</v>
      </c>
      <c r="G47" s="25"/>
      <c r="H47" s="26"/>
      <c r="I47" s="24"/>
      <c r="J47" s="25"/>
      <c r="K47" s="4"/>
      <c r="L47" s="4"/>
      <c r="M47" s="5"/>
      <c r="N47" s="4"/>
      <c r="O47" s="4"/>
      <c r="P47" s="4"/>
      <c r="Q47" s="4"/>
      <c r="R47" s="4"/>
      <c r="S47" s="4"/>
      <c r="T47" s="4"/>
      <c r="U47" s="4"/>
      <c r="V47" s="4"/>
      <c r="W47" s="4"/>
      <c r="X47" s="4"/>
      <c r="Y47" s="4"/>
      <c r="Z47" s="4"/>
      <c r="AA47" s="4"/>
      <c r="AB47" s="4"/>
      <c r="AC47" s="18"/>
      <c r="AD47" s="256" t="s">
        <v>982</v>
      </c>
      <c r="AE47" s="256" t="s">
        <v>982</v>
      </c>
      <c r="AF47" s="114">
        <v>1413</v>
      </c>
      <c r="AG47" s="256" t="s">
        <v>982</v>
      </c>
      <c r="AH47" s="256" t="s">
        <v>982</v>
      </c>
      <c r="AI47" s="114">
        <v>1595</v>
      </c>
      <c r="AJ47" s="114">
        <v>0</v>
      </c>
      <c r="AK47" s="112">
        <v>0</v>
      </c>
      <c r="AL47" s="114">
        <v>0</v>
      </c>
      <c r="AM47" s="114">
        <v>0</v>
      </c>
      <c r="AN47" s="112">
        <v>0</v>
      </c>
      <c r="AO47" s="114">
        <v>0</v>
      </c>
      <c r="AP47" s="199" t="str">
        <f t="shared" si="6"/>
        <v>NA</v>
      </c>
      <c r="AQ47" s="449" t="str">
        <f t="shared" si="1"/>
        <v>NA</v>
      </c>
      <c r="AR47" s="449" t="str">
        <f t="shared" si="2"/>
        <v>NA</v>
      </c>
      <c r="AS47" s="4" t="s">
        <v>69</v>
      </c>
    </row>
    <row r="48" spans="1:48" ht="76.5">
      <c r="A48" s="147" t="str">
        <f>"PG&amp;E "&amp;41</f>
        <v>PG&amp;E 41</v>
      </c>
      <c r="B48" s="32" t="s">
        <v>1287</v>
      </c>
      <c r="C48" s="32" t="s">
        <v>177</v>
      </c>
      <c r="D48" s="38" t="s">
        <v>70</v>
      </c>
      <c r="E48" s="38" t="s">
        <v>71</v>
      </c>
      <c r="F48" s="27" t="s">
        <v>969</v>
      </c>
      <c r="G48" s="25"/>
      <c r="H48" s="26"/>
      <c r="I48" s="24"/>
      <c r="J48" s="25"/>
      <c r="K48" s="4"/>
      <c r="L48" s="4"/>
      <c r="M48" s="5"/>
      <c r="N48" s="4"/>
      <c r="O48" s="4"/>
      <c r="P48" s="4"/>
      <c r="Q48" s="4"/>
      <c r="R48" s="4"/>
      <c r="S48" s="4"/>
      <c r="T48" s="4"/>
      <c r="U48" s="4"/>
      <c r="V48" s="4"/>
      <c r="W48" s="4"/>
      <c r="X48" s="4"/>
      <c r="Y48" s="4"/>
      <c r="Z48" s="4"/>
      <c r="AA48" s="4"/>
      <c r="AB48" s="4"/>
      <c r="AC48" s="18"/>
      <c r="AD48" s="256" t="s">
        <v>982</v>
      </c>
      <c r="AE48" s="256" t="s">
        <v>982</v>
      </c>
      <c r="AF48" s="114">
        <v>316</v>
      </c>
      <c r="AG48" s="256" t="s">
        <v>982</v>
      </c>
      <c r="AH48" s="256" t="s">
        <v>982</v>
      </c>
      <c r="AI48" s="114">
        <v>11</v>
      </c>
      <c r="AJ48" s="114">
        <v>0</v>
      </c>
      <c r="AK48" s="112">
        <v>0</v>
      </c>
      <c r="AL48" s="114">
        <v>0</v>
      </c>
      <c r="AM48" s="114">
        <v>0</v>
      </c>
      <c r="AN48" s="112">
        <v>0</v>
      </c>
      <c r="AO48" s="114">
        <v>0</v>
      </c>
      <c r="AP48" s="199" t="str">
        <f t="shared" si="6"/>
        <v>NA</v>
      </c>
      <c r="AQ48" s="449" t="str">
        <f t="shared" si="1"/>
        <v>NA</v>
      </c>
      <c r="AR48" s="449" t="str">
        <f t="shared" si="2"/>
        <v>NA</v>
      </c>
      <c r="AS48" s="4" t="s">
        <v>72</v>
      </c>
      <c r="AV48" s="181"/>
    </row>
    <row r="49" spans="2:45" ht="12.75">
      <c r="B49" s="301" t="s">
        <v>1142</v>
      </c>
      <c r="C49" s="301" t="s">
        <v>1145</v>
      </c>
      <c r="D49" s="302"/>
      <c r="E49" s="302"/>
      <c r="F49" s="352"/>
      <c r="G49" s="304"/>
      <c r="H49" s="303"/>
      <c r="I49" s="304"/>
      <c r="J49" s="304"/>
      <c r="K49" s="259"/>
      <c r="L49" s="259"/>
      <c r="M49" s="260"/>
      <c r="N49" s="259"/>
      <c r="O49" s="259"/>
      <c r="P49" s="259"/>
      <c r="Q49" s="259"/>
      <c r="R49" s="259"/>
      <c r="S49" s="259"/>
      <c r="T49" s="259"/>
      <c r="U49" s="259"/>
      <c r="V49" s="259"/>
      <c r="W49" s="259"/>
      <c r="X49" s="259"/>
      <c r="Y49" s="259"/>
      <c r="Z49" s="259"/>
      <c r="AA49" s="259"/>
      <c r="AB49" s="259"/>
      <c r="AC49" s="305"/>
      <c r="AD49" s="261">
        <f aca="true" t="shared" si="7" ref="AD49:AO49">SUM(AD37:AD48)</f>
        <v>0</v>
      </c>
      <c r="AE49" s="261">
        <f t="shared" si="7"/>
        <v>0</v>
      </c>
      <c r="AF49" s="261">
        <f t="shared" si="7"/>
        <v>28099</v>
      </c>
      <c r="AG49" s="261">
        <f t="shared" si="7"/>
        <v>5994</v>
      </c>
      <c r="AH49" s="261">
        <f t="shared" si="7"/>
        <v>11524</v>
      </c>
      <c r="AI49" s="261">
        <f t="shared" si="7"/>
        <v>28432</v>
      </c>
      <c r="AJ49" s="261">
        <f t="shared" si="7"/>
        <v>33680.5</v>
      </c>
      <c r="AK49" s="261">
        <f t="shared" si="7"/>
        <v>18.683999999999997</v>
      </c>
      <c r="AL49" s="261">
        <f t="shared" si="7"/>
        <v>270.575</v>
      </c>
      <c r="AM49" s="261">
        <f t="shared" si="7"/>
        <v>49149</v>
      </c>
      <c r="AN49" s="261">
        <f t="shared" si="7"/>
        <v>21.619999999999997</v>
      </c>
      <c r="AO49" s="261">
        <f t="shared" si="7"/>
        <v>415</v>
      </c>
      <c r="AP49" s="353">
        <f t="shared" si="6"/>
        <v>0.578485828806283</v>
      </c>
      <c r="AQ49" s="450">
        <f t="shared" si="1"/>
        <v>1315.0786308973175</v>
      </c>
      <c r="AR49" s="450">
        <f t="shared" si="2"/>
        <v>68.51084337349397</v>
      </c>
      <c r="AS49" s="259"/>
    </row>
    <row r="50" spans="2:45" ht="12.75">
      <c r="B50" s="351"/>
      <c r="C50" s="364"/>
      <c r="D50" s="364"/>
      <c r="E50" s="364"/>
      <c r="F50" s="365"/>
      <c r="G50" s="366"/>
      <c r="H50" s="367"/>
      <c r="I50" s="366"/>
      <c r="J50" s="366"/>
      <c r="K50" s="368"/>
      <c r="L50" s="368"/>
      <c r="M50" s="369"/>
      <c r="N50" s="368"/>
      <c r="O50" s="368"/>
      <c r="P50" s="368"/>
      <c r="Q50" s="368"/>
      <c r="R50" s="368"/>
      <c r="S50" s="368"/>
      <c r="T50" s="368"/>
      <c r="U50" s="368"/>
      <c r="V50" s="368"/>
      <c r="W50" s="368"/>
      <c r="X50" s="368"/>
      <c r="Y50" s="368"/>
      <c r="Z50" s="368"/>
      <c r="AA50" s="368"/>
      <c r="AB50" s="368"/>
      <c r="AC50" s="368"/>
      <c r="AD50" s="370"/>
      <c r="AE50" s="370"/>
      <c r="AF50" s="370"/>
      <c r="AG50" s="370"/>
      <c r="AH50" s="370"/>
      <c r="AI50" s="370"/>
      <c r="AJ50" s="370"/>
      <c r="AK50" s="370"/>
      <c r="AL50" s="370"/>
      <c r="AM50" s="370"/>
      <c r="AN50" s="370"/>
      <c r="AO50" s="370"/>
      <c r="AP50" s="371"/>
      <c r="AQ50" s="451"/>
      <c r="AR50" s="451"/>
      <c r="AS50" s="372"/>
    </row>
    <row r="51" spans="2:45" ht="12.75">
      <c r="B51" s="302" t="s">
        <v>651</v>
      </c>
      <c r="C51" s="373" t="s">
        <v>1146</v>
      </c>
      <c r="D51" s="374"/>
      <c r="E51" s="374"/>
      <c r="F51" s="352"/>
      <c r="G51" s="352"/>
      <c r="H51" s="375"/>
      <c r="I51" s="352"/>
      <c r="J51" s="352"/>
      <c r="K51" s="267"/>
      <c r="L51" s="267"/>
      <c r="M51" s="376"/>
      <c r="N51" s="267"/>
      <c r="O51" s="267"/>
      <c r="P51" s="267"/>
      <c r="Q51" s="267"/>
      <c r="R51" s="267"/>
      <c r="S51" s="267"/>
      <c r="T51" s="267"/>
      <c r="U51" s="267"/>
      <c r="V51" s="267"/>
      <c r="W51" s="267"/>
      <c r="X51" s="267"/>
      <c r="Y51" s="267"/>
      <c r="Z51" s="267"/>
      <c r="AA51" s="267"/>
      <c r="AB51" s="267"/>
      <c r="AC51" s="267"/>
      <c r="AD51" s="377">
        <f aca="true" t="shared" si="8" ref="AD51:AO51">AD49+AD36+AD21</f>
        <v>0</v>
      </c>
      <c r="AE51" s="377">
        <f t="shared" si="8"/>
        <v>0</v>
      </c>
      <c r="AF51" s="377">
        <f t="shared" si="8"/>
        <v>145812</v>
      </c>
      <c r="AG51" s="377">
        <f t="shared" si="8"/>
        <v>46996.3</v>
      </c>
      <c r="AH51" s="377">
        <f t="shared" si="8"/>
        <v>27793.7</v>
      </c>
      <c r="AI51" s="377">
        <f t="shared" si="8"/>
        <v>145591</v>
      </c>
      <c r="AJ51" s="377">
        <f t="shared" si="8"/>
        <v>209972.81</v>
      </c>
      <c r="AK51" s="377">
        <f t="shared" si="8"/>
        <v>70.812</v>
      </c>
      <c r="AL51" s="377">
        <f t="shared" si="8"/>
        <v>6210.015</v>
      </c>
      <c r="AM51" s="377">
        <f t="shared" si="8"/>
        <v>627918</v>
      </c>
      <c r="AN51" s="377">
        <f t="shared" si="8"/>
        <v>158.63</v>
      </c>
      <c r="AO51" s="377">
        <f t="shared" si="8"/>
        <v>10536</v>
      </c>
      <c r="AP51" s="378">
        <f t="shared" si="6"/>
        <v>0.23186307766300696</v>
      </c>
      <c r="AQ51" s="452">
        <f t="shared" si="1"/>
        <v>917.8024333354347</v>
      </c>
      <c r="AR51" s="452">
        <f t="shared" si="2"/>
        <v>13.81843204252088</v>
      </c>
      <c r="AS51" s="267"/>
    </row>
    <row r="53" ht="12.75">
      <c r="B53" s="31" t="s">
        <v>1325</v>
      </c>
    </row>
    <row r="54" ht="12.75">
      <c r="B54" s="31" t="s">
        <v>1326</v>
      </c>
    </row>
    <row r="55" spans="35:41" ht="12.75">
      <c r="AI55" s="355">
        <f>AI51+'SDG&amp;E'!AI56+SCE!AI41+SoCalGas!AH41</f>
        <v>293540.20300000004</v>
      </c>
      <c r="AM55" s="355">
        <f>AM51+'SDG&amp;E'!AM56+SCE!AM41+SoCalGas!AL41</f>
        <v>1254539.282</v>
      </c>
      <c r="AN55" s="355">
        <f>AN51+'SDG&amp;E'!AN56+SCE!AN41+SoCalGas!AM41</f>
        <v>323.21500000000003</v>
      </c>
      <c r="AO55" s="355">
        <f>AO51+'SDG&amp;E'!AO56+SCE!AO41+SoCalGas!AN41</f>
        <v>24838.854</v>
      </c>
    </row>
  </sheetData>
  <sheetProtection password="DE47" sheet="1" objects="1" scenarios="1"/>
  <mergeCells count="1">
    <mergeCell ref="AS4:AS5"/>
  </mergeCells>
  <hyperlinks>
    <hyperlink ref="M17" r:id="rId1" display="sxbq@pge.com"/>
    <hyperlink ref="S17" r:id="rId2" display="mkg3@pge.com"/>
    <hyperlink ref="P17" r:id="rId3" display="staples@staples-ad.com"/>
    <hyperlink ref="V17" r:id="rId4" display="alee@xenergy.com"/>
    <hyperlink ref="V22" r:id="rId5" display="mrufo@xenergy.com"/>
    <hyperlink ref="V25" r:id="rId6" display="mrufo@xenergy.com"/>
    <hyperlink ref="M43" r:id="rId7" display="gxd7@pge.com"/>
    <hyperlink ref="O43" r:id="rId8" display="ksh1@pge.com"/>
    <hyperlink ref="P43" r:id="rId9" display="ksh1@pge.com"/>
    <hyperlink ref="S43" r:id="rId10" display="mkg3@pge.com"/>
    <hyperlink ref="V43" r:id="rId11" display="chappell@h-m-g.com"/>
  </hyperlinks>
  <printOptions/>
  <pageMargins left="0.5" right="0.5" top="0.54" bottom="1" header="0.5" footer="0.5"/>
  <pageSetup fitToHeight="20" fitToWidth="2" horizontalDpi="300" verticalDpi="300" orientation="landscape" pageOrder="overThenDown" scale="58" r:id="rId15"/>
  <headerFooter alignWithMargins="0">
    <oddHeader>&amp;CCALMAC Summary Study</oddHeader>
    <oddFooter>&amp;LGlobal Energy Partners, LLC&amp;C&amp;D&amp;RPage &amp;P of &amp;N</oddFooter>
  </headerFooter>
  <colBreaks count="1" manualBreakCount="1">
    <brk id="19" min="5" max="43" man="1"/>
  </colBreaks>
  <drawing r:id="rId14"/>
  <legacyDrawing r:id="rId13"/>
</worksheet>
</file>

<file path=xl/worksheets/sheet5.xml><?xml version="1.0" encoding="utf-8"?>
<worksheet xmlns="http://schemas.openxmlformats.org/spreadsheetml/2006/main" xmlns:r="http://schemas.openxmlformats.org/officeDocument/2006/relationships">
  <sheetPr codeName="Sheet2">
    <pageSetUpPr fitToPage="1"/>
  </sheetPr>
  <dimension ref="A1:AS49"/>
  <sheetViews>
    <sheetView showGridLines="0" zoomScale="75" zoomScaleNormal="75" zoomScaleSheetLayoutView="25" workbookViewId="0" topLeftCell="A1">
      <pane xSplit="4" ySplit="5" topLeftCell="AI37" activePane="bottomRight" state="frozen"/>
      <selection pane="topLeft" activeCell="D35" sqref="D35"/>
      <selection pane="topRight" activeCell="D35" sqref="D35"/>
      <selection pane="bottomLeft" activeCell="D35" sqref="D35"/>
      <selection pane="bottomRight" activeCell="AM38" sqref="AM38"/>
    </sheetView>
  </sheetViews>
  <sheetFormatPr defaultColWidth="9.140625" defaultRowHeight="12.75" outlineLevelCol="1"/>
  <cols>
    <col min="1" max="1" width="9.140625" style="31" customWidth="1"/>
    <col min="2" max="2" width="14.28125" style="31" customWidth="1"/>
    <col min="3" max="3" width="14.8515625" style="31" customWidth="1"/>
    <col min="4" max="4" width="51.00390625" style="31" customWidth="1"/>
    <col min="5" max="5" width="21.7109375" style="31" customWidth="1"/>
    <col min="6" max="10" width="3.7109375" style="31" customWidth="1"/>
    <col min="11" max="13" width="7.7109375" style="31" hidden="1" customWidth="1" outlineLevel="1"/>
    <col min="14" max="14" width="11.8515625" style="31" hidden="1" customWidth="1" outlineLevel="1"/>
    <col min="15" max="22" width="7.7109375" style="31" hidden="1" customWidth="1" outlineLevel="1"/>
    <col min="23" max="23" width="7.8515625" style="31" hidden="1" customWidth="1" outlineLevel="1"/>
    <col min="24" max="24" width="10.00390625" style="31" hidden="1" customWidth="1" outlineLevel="1"/>
    <col min="25" max="25" width="9.140625" style="31" hidden="1" customWidth="1" outlineLevel="1"/>
    <col min="26" max="26" width="8.421875" style="31" hidden="1" customWidth="1" outlineLevel="1"/>
    <col min="27" max="27" width="7.8515625" style="31" hidden="1" customWidth="1" outlineLevel="1"/>
    <col min="28" max="28" width="6.28125" style="31" hidden="1" customWidth="1" outlineLevel="1"/>
    <col min="29" max="29" width="5.8515625" style="31" hidden="1" customWidth="1" outlineLevel="1"/>
    <col min="30" max="30" width="10.7109375" style="355" customWidth="1" collapsed="1"/>
    <col min="31" max="35" width="10.7109375" style="355" customWidth="1"/>
    <col min="36" max="36" width="9.421875" style="183" bestFit="1" customWidth="1"/>
    <col min="37" max="38" width="9.421875" style="31" bestFit="1" customWidth="1"/>
    <col min="39" max="39" width="17.00390625" style="355" bestFit="1" customWidth="1"/>
    <col min="40" max="40" width="11.57421875" style="82" bestFit="1" customWidth="1"/>
    <col min="41" max="41" width="9.421875" style="31" bestFit="1" customWidth="1"/>
    <col min="42" max="42" width="10.7109375" style="445" customWidth="1"/>
    <col min="43" max="43" width="11.57421875" style="183" customWidth="1"/>
    <col min="44" max="44" width="9.140625" style="226" customWidth="1"/>
    <col min="45" max="45" width="37.00390625" style="6" customWidth="1"/>
    <col min="46" max="16384" width="9.140625" style="31" customWidth="1"/>
  </cols>
  <sheetData>
    <row r="1" spans="2:34" ht="15.75">
      <c r="B1" s="80" t="s">
        <v>265</v>
      </c>
      <c r="AD1" s="354"/>
      <c r="AE1" s="354"/>
      <c r="AF1" s="354"/>
      <c r="AG1" s="354"/>
      <c r="AH1" s="354"/>
    </row>
    <row r="2" ht="16.5" thickBot="1">
      <c r="B2" s="122" t="s">
        <v>142</v>
      </c>
    </row>
    <row r="3" spans="6:29" ht="13.5" thickBot="1">
      <c r="F3" s="83"/>
      <c r="G3" s="83"/>
      <c r="H3" s="83"/>
      <c r="I3" s="83"/>
      <c r="J3" s="83"/>
      <c r="K3" s="84" t="s">
        <v>36</v>
      </c>
      <c r="L3" s="85"/>
      <c r="M3" s="85"/>
      <c r="N3" s="85"/>
      <c r="O3" s="85"/>
      <c r="P3" s="85"/>
      <c r="Q3" s="85"/>
      <c r="R3" s="85"/>
      <c r="S3" s="85"/>
      <c r="T3" s="85"/>
      <c r="U3" s="85"/>
      <c r="V3" s="85"/>
      <c r="W3" s="85"/>
      <c r="X3" s="85"/>
      <c r="Y3" s="86"/>
      <c r="Z3" s="87"/>
      <c r="AA3" s="88"/>
      <c r="AB3" s="88"/>
      <c r="AC3" s="89"/>
    </row>
    <row r="4" spans="6:45" ht="40.5" customHeight="1" thickBot="1">
      <c r="F4" s="61" t="s">
        <v>33</v>
      </c>
      <c r="G4" s="62"/>
      <c r="H4" s="62"/>
      <c r="I4" s="62"/>
      <c r="J4" s="63"/>
      <c r="K4" s="61" t="s">
        <v>679</v>
      </c>
      <c r="L4" s="85"/>
      <c r="M4" s="86"/>
      <c r="N4" s="85" t="s">
        <v>677</v>
      </c>
      <c r="O4" s="85"/>
      <c r="P4" s="86"/>
      <c r="Q4" s="90" t="s">
        <v>680</v>
      </c>
      <c r="R4" s="90"/>
      <c r="S4" s="91"/>
      <c r="T4" s="85" t="s">
        <v>675</v>
      </c>
      <c r="U4" s="85"/>
      <c r="V4" s="86"/>
      <c r="W4" s="85" t="s">
        <v>1197</v>
      </c>
      <c r="X4" s="86"/>
      <c r="Y4" s="92"/>
      <c r="Z4" s="93" t="s">
        <v>34</v>
      </c>
      <c r="AA4" s="94"/>
      <c r="AB4" s="94"/>
      <c r="AC4" s="95"/>
      <c r="AD4" s="356" t="s">
        <v>956</v>
      </c>
      <c r="AE4" s="356"/>
      <c r="AF4" s="356"/>
      <c r="AG4" s="356" t="s">
        <v>1284</v>
      </c>
      <c r="AH4" s="356"/>
      <c r="AI4" s="356"/>
      <c r="AJ4" s="35" t="s">
        <v>1081</v>
      </c>
      <c r="AK4" s="35"/>
      <c r="AL4" s="35"/>
      <c r="AM4" s="360" t="s">
        <v>346</v>
      </c>
      <c r="AN4" s="55"/>
      <c r="AO4" s="35"/>
      <c r="AP4" s="446" t="s">
        <v>662</v>
      </c>
      <c r="AQ4" s="441"/>
      <c r="AR4" s="447"/>
      <c r="AS4" s="657" t="s">
        <v>732</v>
      </c>
    </row>
    <row r="5" spans="2:45" ht="113.25" thickBot="1">
      <c r="B5" s="96" t="s">
        <v>835</v>
      </c>
      <c r="C5" s="96" t="s">
        <v>834</v>
      </c>
      <c r="D5" s="96" t="s">
        <v>836</v>
      </c>
      <c r="E5" s="96" t="s">
        <v>731</v>
      </c>
      <c r="F5" s="11" t="s">
        <v>28</v>
      </c>
      <c r="G5" s="12" t="s">
        <v>29</v>
      </c>
      <c r="H5" s="12" t="s">
        <v>30</v>
      </c>
      <c r="I5" s="12" t="s">
        <v>31</v>
      </c>
      <c r="J5" s="13" t="s">
        <v>668</v>
      </c>
      <c r="K5" s="97" t="s">
        <v>37</v>
      </c>
      <c r="L5" s="98" t="s">
        <v>38</v>
      </c>
      <c r="M5" s="99" t="s">
        <v>39</v>
      </c>
      <c r="N5" s="97" t="s">
        <v>678</v>
      </c>
      <c r="O5" s="98" t="s">
        <v>38</v>
      </c>
      <c r="P5" s="99" t="s">
        <v>39</v>
      </c>
      <c r="Q5" s="97" t="s">
        <v>37</v>
      </c>
      <c r="R5" s="98" t="s">
        <v>38</v>
      </c>
      <c r="S5" s="99" t="s">
        <v>39</v>
      </c>
      <c r="T5" s="97" t="s">
        <v>678</v>
      </c>
      <c r="U5" s="98" t="s">
        <v>38</v>
      </c>
      <c r="V5" s="99" t="s">
        <v>39</v>
      </c>
      <c r="W5" s="100" t="s">
        <v>40</v>
      </c>
      <c r="X5" s="99" t="s">
        <v>41</v>
      </c>
      <c r="Y5" s="101" t="s">
        <v>35</v>
      </c>
      <c r="Z5" s="97" t="s">
        <v>1306</v>
      </c>
      <c r="AA5" s="98" t="s">
        <v>681</v>
      </c>
      <c r="AB5" s="98" t="s">
        <v>32</v>
      </c>
      <c r="AC5" s="102" t="s">
        <v>682</v>
      </c>
      <c r="AD5" s="357" t="s">
        <v>777</v>
      </c>
      <c r="AE5" s="358" t="s">
        <v>778</v>
      </c>
      <c r="AF5" s="359" t="s">
        <v>779</v>
      </c>
      <c r="AG5" s="357" t="s">
        <v>777</v>
      </c>
      <c r="AH5" s="358" t="s">
        <v>778</v>
      </c>
      <c r="AI5" s="359" t="s">
        <v>779</v>
      </c>
      <c r="AJ5" s="106" t="s">
        <v>1266</v>
      </c>
      <c r="AK5" s="104" t="s">
        <v>1356</v>
      </c>
      <c r="AL5" s="107" t="s">
        <v>1357</v>
      </c>
      <c r="AM5" s="363" t="s">
        <v>1266</v>
      </c>
      <c r="AN5" s="108" t="s">
        <v>1356</v>
      </c>
      <c r="AO5" s="105" t="s">
        <v>1357</v>
      </c>
      <c r="AP5" s="455" t="s">
        <v>1358</v>
      </c>
      <c r="AQ5" s="592" t="s">
        <v>650</v>
      </c>
      <c r="AR5" s="453" t="s">
        <v>517</v>
      </c>
      <c r="AS5" s="658"/>
    </row>
    <row r="6" spans="1:45" ht="69" customHeight="1">
      <c r="A6" s="147" t="str">
        <f>"SCE 0"&amp;1</f>
        <v>SCE 01</v>
      </c>
      <c r="B6" s="382" t="s">
        <v>368</v>
      </c>
      <c r="C6" s="59" t="s">
        <v>1172</v>
      </c>
      <c r="D6" s="58" t="s">
        <v>1171</v>
      </c>
      <c r="E6" s="184" t="s">
        <v>1173</v>
      </c>
      <c r="F6" s="72" t="s">
        <v>969</v>
      </c>
      <c r="G6" s="194"/>
      <c r="H6" s="195"/>
      <c r="I6" s="72"/>
      <c r="J6" s="403"/>
      <c r="K6" s="20" t="s">
        <v>1308</v>
      </c>
      <c r="L6" s="56" t="s">
        <v>1311</v>
      </c>
      <c r="M6" s="34" t="s">
        <v>1309</v>
      </c>
      <c r="N6" s="20" t="s">
        <v>1310</v>
      </c>
      <c r="O6" s="16"/>
      <c r="P6" s="16"/>
      <c r="Q6" s="185"/>
      <c r="AD6" s="402">
        <f>AF6</f>
        <v>3047.25</v>
      </c>
      <c r="AE6" s="402">
        <v>0</v>
      </c>
      <c r="AF6" s="402">
        <v>3047.25</v>
      </c>
      <c r="AG6" s="402">
        <f>AI6</f>
        <v>2736.019</v>
      </c>
      <c r="AH6" s="402">
        <v>0</v>
      </c>
      <c r="AI6" s="402">
        <v>2736.019</v>
      </c>
      <c r="AJ6" s="186" t="s">
        <v>982</v>
      </c>
      <c r="AK6" s="186" t="s">
        <v>982</v>
      </c>
      <c r="AL6" s="186" t="s">
        <v>982</v>
      </c>
      <c r="AM6" s="402">
        <v>0</v>
      </c>
      <c r="AN6" s="193">
        <v>0</v>
      </c>
      <c r="AO6" s="510">
        <v>0</v>
      </c>
      <c r="AP6" s="510" t="str">
        <f>IF(OR(AM6=0,AM6="NA",$AI6="NA"),"NA",$AI6/AM6)</f>
        <v>NA</v>
      </c>
      <c r="AQ6" s="280" t="str">
        <f>IF(OR(AN6=0,AN6="NA",$AI6="NA"),"NA",$AI6/AN6)</f>
        <v>NA</v>
      </c>
      <c r="AR6" s="510" t="str">
        <f>IF(OR(AO6=0,AO6="NA",$AI6="NA"),"NA",$AI6/AO6)</f>
        <v>NA</v>
      </c>
      <c r="AS6" s="1"/>
    </row>
    <row r="7" spans="1:45" ht="89.25">
      <c r="A7" s="147" t="str">
        <f>"SCE 0"&amp;2</f>
        <v>SCE 02</v>
      </c>
      <c r="B7" s="41" t="s">
        <v>372</v>
      </c>
      <c r="C7" s="41" t="s">
        <v>1238</v>
      </c>
      <c r="D7" s="41" t="s">
        <v>826</v>
      </c>
      <c r="E7" s="41"/>
      <c r="F7" s="27" t="s">
        <v>969</v>
      </c>
      <c r="G7" s="28"/>
      <c r="H7" s="29"/>
      <c r="I7" s="27"/>
      <c r="J7" s="28"/>
      <c r="K7" s="1" t="s">
        <v>1308</v>
      </c>
      <c r="L7" s="17" t="s">
        <v>1311</v>
      </c>
      <c r="M7" s="3" t="s">
        <v>1309</v>
      </c>
      <c r="N7" s="1" t="s">
        <v>1175</v>
      </c>
      <c r="O7" s="1"/>
      <c r="P7" s="1"/>
      <c r="Q7" s="1"/>
      <c r="R7" s="1"/>
      <c r="S7" s="1"/>
      <c r="T7" s="1"/>
      <c r="U7" s="1"/>
      <c r="V7" s="1"/>
      <c r="W7" s="1"/>
      <c r="X7" s="1"/>
      <c r="Y7" s="1"/>
      <c r="Z7" s="1"/>
      <c r="AA7" s="1"/>
      <c r="AB7" s="1"/>
      <c r="AC7" s="1"/>
      <c r="AD7" s="177">
        <v>1700</v>
      </c>
      <c r="AE7" s="177">
        <v>0</v>
      </c>
      <c r="AF7" s="177">
        <v>1700</v>
      </c>
      <c r="AG7" s="177">
        <f>AI7</f>
        <v>1683.138</v>
      </c>
      <c r="AH7" s="177">
        <v>0</v>
      </c>
      <c r="AI7" s="177">
        <v>1683.138</v>
      </c>
      <c r="AJ7" s="57" t="s">
        <v>982</v>
      </c>
      <c r="AK7" s="57" t="s">
        <v>982</v>
      </c>
      <c r="AL7" s="57" t="s">
        <v>982</v>
      </c>
      <c r="AM7" s="177">
        <v>9261</v>
      </c>
      <c r="AN7" s="116">
        <v>3.55</v>
      </c>
      <c r="AO7" s="443"/>
      <c r="AP7" s="443">
        <f aca="true" t="shared" si="0" ref="AP7:AP41">IF(OR(AM7=0,AM7="NA",$AI7="NA"),"NA",$AI7/AM7)</f>
        <v>0.18174473598963395</v>
      </c>
      <c r="AQ7" s="593">
        <f aca="true" t="shared" si="1" ref="AQ7:AQ41">IF(OR(AN7=0,AN7="NA",$AI7="NA"),"NA",$AI7/AN7)</f>
        <v>474.1233802816901</v>
      </c>
      <c r="AR7" s="443" t="str">
        <f aca="true" t="shared" si="2" ref="AR7:AR41">IF(OR(AO7=0,AO7="NA",$AI7="NA"),"NA",$AI7/AO7)</f>
        <v>NA</v>
      </c>
      <c r="AS7" s="1" t="s">
        <v>827</v>
      </c>
    </row>
    <row r="8" spans="1:45" ht="63.75">
      <c r="A8" s="147" t="str">
        <f>"SCE 0"&amp;3</f>
        <v>SCE 03</v>
      </c>
      <c r="B8" s="41" t="s">
        <v>1177</v>
      </c>
      <c r="C8" s="41" t="s">
        <v>1176</v>
      </c>
      <c r="D8" s="41" t="s">
        <v>143</v>
      </c>
      <c r="E8" s="41"/>
      <c r="F8" s="27" t="s">
        <v>969</v>
      </c>
      <c r="G8" s="28"/>
      <c r="H8" s="29"/>
      <c r="I8" s="27"/>
      <c r="J8" s="28"/>
      <c r="K8" s="1" t="s">
        <v>1314</v>
      </c>
      <c r="L8" s="17" t="s">
        <v>1315</v>
      </c>
      <c r="M8" s="3" t="s">
        <v>1316</v>
      </c>
      <c r="N8" s="1" t="s">
        <v>1310</v>
      </c>
      <c r="O8" s="1"/>
      <c r="P8" s="1"/>
      <c r="Q8" s="1"/>
      <c r="R8" s="1"/>
      <c r="S8" s="1"/>
      <c r="T8" s="1"/>
      <c r="U8" s="1"/>
      <c r="V8" s="1"/>
      <c r="W8" s="1"/>
      <c r="X8" s="1"/>
      <c r="Y8" s="1"/>
      <c r="Z8" s="1"/>
      <c r="AA8" s="1"/>
      <c r="AB8" s="1"/>
      <c r="AC8" s="1"/>
      <c r="AD8" s="177" t="s">
        <v>982</v>
      </c>
      <c r="AE8" s="177" t="s">
        <v>982</v>
      </c>
      <c r="AF8" s="659">
        <v>4716.5</v>
      </c>
      <c r="AG8" s="177" t="s">
        <v>982</v>
      </c>
      <c r="AH8" s="177" t="s">
        <v>982</v>
      </c>
      <c r="AI8" s="659">
        <v>4716.5</v>
      </c>
      <c r="AJ8" s="57" t="s">
        <v>982</v>
      </c>
      <c r="AK8" s="57" t="s">
        <v>982</v>
      </c>
      <c r="AL8" s="57" t="s">
        <v>982</v>
      </c>
      <c r="AM8" s="177">
        <v>3589</v>
      </c>
      <c r="AN8" s="116">
        <v>1.08</v>
      </c>
      <c r="AO8" s="443"/>
      <c r="AP8" s="660">
        <f>AI8/SUM(AM8:AM9)</f>
        <v>0.2738966318234611</v>
      </c>
      <c r="AQ8" s="662">
        <f>AI8/SUM(AN8:AN9)</f>
        <v>3546.240601503759</v>
      </c>
      <c r="AR8" s="443" t="str">
        <f t="shared" si="2"/>
        <v>NA</v>
      </c>
      <c r="AS8" s="1" t="s">
        <v>1179</v>
      </c>
    </row>
    <row r="9" spans="1:45" ht="76.5">
      <c r="A9" s="147" t="str">
        <f>"SCE 0"&amp;4</f>
        <v>SCE 04</v>
      </c>
      <c r="B9" s="41" t="s">
        <v>1178</v>
      </c>
      <c r="C9" s="41" t="s">
        <v>1176</v>
      </c>
      <c r="D9" s="41" t="s">
        <v>391</v>
      </c>
      <c r="E9" s="41"/>
      <c r="F9" s="27" t="s">
        <v>969</v>
      </c>
      <c r="G9" s="28" t="s">
        <v>969</v>
      </c>
      <c r="H9" s="29"/>
      <c r="I9" s="27"/>
      <c r="J9" s="28"/>
      <c r="K9" s="1" t="s">
        <v>1314</v>
      </c>
      <c r="L9" s="17" t="s">
        <v>1315</v>
      </c>
      <c r="M9" s="3" t="s">
        <v>1316</v>
      </c>
      <c r="N9" s="1" t="s">
        <v>1310</v>
      </c>
      <c r="O9" s="1"/>
      <c r="P9" s="1"/>
      <c r="Q9" s="1"/>
      <c r="R9" s="1"/>
      <c r="S9" s="1"/>
      <c r="T9" s="1"/>
      <c r="U9" s="1"/>
      <c r="V9" s="1"/>
      <c r="W9" s="1"/>
      <c r="X9" s="1"/>
      <c r="Y9" s="1"/>
      <c r="Z9" s="1"/>
      <c r="AA9" s="1"/>
      <c r="AB9" s="1"/>
      <c r="AC9" s="1"/>
      <c r="AD9" s="177" t="s">
        <v>982</v>
      </c>
      <c r="AE9" s="177" t="s">
        <v>982</v>
      </c>
      <c r="AF9" s="659"/>
      <c r="AG9" s="177" t="s">
        <v>982</v>
      </c>
      <c r="AH9" s="177" t="s">
        <v>982</v>
      </c>
      <c r="AI9" s="659"/>
      <c r="AJ9" s="57" t="s">
        <v>982</v>
      </c>
      <c r="AK9" s="57" t="s">
        <v>982</v>
      </c>
      <c r="AL9" s="57" t="s">
        <v>982</v>
      </c>
      <c r="AM9" s="177">
        <v>13631</v>
      </c>
      <c r="AN9" s="116">
        <v>0.25</v>
      </c>
      <c r="AO9" s="443"/>
      <c r="AP9" s="661"/>
      <c r="AQ9" s="663"/>
      <c r="AR9" s="443" t="str">
        <f t="shared" si="2"/>
        <v>NA</v>
      </c>
      <c r="AS9" s="1" t="s">
        <v>1180</v>
      </c>
    </row>
    <row r="10" spans="1:45" ht="178.5">
      <c r="A10" s="147" t="str">
        <f>"SCE 0"&amp;5</f>
        <v>SCE 05</v>
      </c>
      <c r="B10" s="41" t="s">
        <v>1181</v>
      </c>
      <c r="C10" s="41" t="s">
        <v>1182</v>
      </c>
      <c r="D10" s="41" t="s">
        <v>1183</v>
      </c>
      <c r="E10" s="41" t="s">
        <v>1195</v>
      </c>
      <c r="F10" s="27" t="s">
        <v>969</v>
      </c>
      <c r="G10" s="28" t="s">
        <v>969</v>
      </c>
      <c r="H10" s="29"/>
      <c r="I10" s="27"/>
      <c r="J10" s="28"/>
      <c r="K10" s="1" t="s">
        <v>1308</v>
      </c>
      <c r="L10" s="17" t="s">
        <v>1311</v>
      </c>
      <c r="M10" s="3" t="s">
        <v>1309</v>
      </c>
      <c r="N10" s="1" t="s">
        <v>1310</v>
      </c>
      <c r="O10" s="1"/>
      <c r="P10" s="1"/>
      <c r="Q10" s="1"/>
      <c r="R10" s="1"/>
      <c r="S10" s="1"/>
      <c r="T10" s="1"/>
      <c r="U10" s="1"/>
      <c r="V10" s="1"/>
      <c r="W10" s="1"/>
      <c r="X10" s="1"/>
      <c r="Y10" s="1"/>
      <c r="Z10" s="1"/>
      <c r="AA10" s="1"/>
      <c r="AB10" s="1"/>
      <c r="AC10" s="1"/>
      <c r="AD10" s="177" t="s">
        <v>982</v>
      </c>
      <c r="AE10" s="177" t="s">
        <v>982</v>
      </c>
      <c r="AF10" s="177" t="s">
        <v>982</v>
      </c>
      <c r="AG10" s="177">
        <v>1499</v>
      </c>
      <c r="AH10" s="177">
        <v>3574</v>
      </c>
      <c r="AI10" s="177">
        <f>SUM(AG10:AH10)</f>
        <v>5073</v>
      </c>
      <c r="AJ10" s="57" t="s">
        <v>982</v>
      </c>
      <c r="AK10" s="57" t="s">
        <v>982</v>
      </c>
      <c r="AL10" s="57" t="s">
        <v>982</v>
      </c>
      <c r="AM10" s="177">
        <v>9465</v>
      </c>
      <c r="AN10" s="116">
        <v>9.75</v>
      </c>
      <c r="AO10" s="443"/>
      <c r="AP10" s="443">
        <f t="shared" si="0"/>
        <v>0.5359746434231378</v>
      </c>
      <c r="AQ10" s="593">
        <f t="shared" si="1"/>
        <v>520.3076923076923</v>
      </c>
      <c r="AR10" s="443" t="str">
        <f t="shared" si="2"/>
        <v>NA</v>
      </c>
      <c r="AS10" s="1" t="s">
        <v>1194</v>
      </c>
    </row>
    <row r="11" spans="1:45" ht="140.25">
      <c r="A11" s="147" t="str">
        <f>"SCE 0"&amp;6</f>
        <v>SCE 06</v>
      </c>
      <c r="B11" s="41" t="s">
        <v>1313</v>
      </c>
      <c r="C11" s="41" t="s">
        <v>837</v>
      </c>
      <c r="D11" s="41" t="s">
        <v>212</v>
      </c>
      <c r="E11" s="41"/>
      <c r="F11" s="27" t="s">
        <v>969</v>
      </c>
      <c r="G11" s="28" t="s">
        <v>969</v>
      </c>
      <c r="H11" s="29"/>
      <c r="I11" s="27"/>
      <c r="J11" s="28"/>
      <c r="K11" s="1" t="s">
        <v>1314</v>
      </c>
      <c r="L11" s="17" t="s">
        <v>1315</v>
      </c>
      <c r="M11" s="3" t="s">
        <v>1316</v>
      </c>
      <c r="N11" s="1" t="s">
        <v>1317</v>
      </c>
      <c r="O11" s="1" t="s">
        <v>361</v>
      </c>
      <c r="P11" s="1" t="s">
        <v>362</v>
      </c>
      <c r="Q11" s="1"/>
      <c r="R11" s="1"/>
      <c r="S11" s="1"/>
      <c r="T11" s="1"/>
      <c r="U11" s="1"/>
      <c r="V11" s="1"/>
      <c r="W11" s="1"/>
      <c r="X11" s="1"/>
      <c r="Y11" s="1"/>
      <c r="Z11" s="1"/>
      <c r="AA11" s="1"/>
      <c r="AB11" s="1"/>
      <c r="AC11" s="1"/>
      <c r="AD11" s="177" t="s">
        <v>982</v>
      </c>
      <c r="AE11" s="177" t="s">
        <v>982</v>
      </c>
      <c r="AF11" s="177">
        <v>7500</v>
      </c>
      <c r="AG11" s="177">
        <f>AI11-AH11</f>
        <v>556.1390000000001</v>
      </c>
      <c r="AH11" s="177">
        <v>6944</v>
      </c>
      <c r="AI11" s="177">
        <v>7500.139</v>
      </c>
      <c r="AJ11" s="57" t="s">
        <v>982</v>
      </c>
      <c r="AK11" s="57" t="s">
        <v>982</v>
      </c>
      <c r="AL11" s="57" t="s">
        <v>982</v>
      </c>
      <c r="AM11" s="177">
        <v>53613</v>
      </c>
      <c r="AN11" s="116">
        <v>9.09</v>
      </c>
      <c r="AO11" s="443">
        <v>0</v>
      </c>
      <c r="AP11" s="443">
        <f t="shared" si="0"/>
        <v>0.1398940368940369</v>
      </c>
      <c r="AQ11" s="593">
        <f t="shared" si="1"/>
        <v>825.097799779978</v>
      </c>
      <c r="AR11" s="443" t="str">
        <f t="shared" si="2"/>
        <v>NA</v>
      </c>
      <c r="AS11" s="1" t="s">
        <v>392</v>
      </c>
    </row>
    <row r="12" spans="1:45" ht="63.75">
      <c r="A12" s="147" t="str">
        <f>"SCE 0"&amp;7</f>
        <v>SCE 07</v>
      </c>
      <c r="B12" s="41" t="s">
        <v>373</v>
      </c>
      <c r="C12" s="41" t="s">
        <v>213</v>
      </c>
      <c r="D12" s="41" t="s">
        <v>828</v>
      </c>
      <c r="E12" s="41"/>
      <c r="F12" s="27" t="s">
        <v>969</v>
      </c>
      <c r="G12" s="28"/>
      <c r="H12" s="29"/>
      <c r="I12" s="27"/>
      <c r="J12" s="28"/>
      <c r="K12" s="1" t="s">
        <v>364</v>
      </c>
      <c r="L12" s="17" t="s">
        <v>365</v>
      </c>
      <c r="M12" s="3" t="s">
        <v>366</v>
      </c>
      <c r="N12" s="1" t="s">
        <v>373</v>
      </c>
      <c r="O12" s="1"/>
      <c r="P12" s="1"/>
      <c r="Q12" s="1"/>
      <c r="R12" s="1"/>
      <c r="S12" s="1"/>
      <c r="T12" s="1"/>
      <c r="U12" s="1"/>
      <c r="V12" s="1"/>
      <c r="W12" s="1"/>
      <c r="X12" s="1"/>
      <c r="Y12" s="1"/>
      <c r="Z12" s="1"/>
      <c r="AA12" s="1"/>
      <c r="AB12" s="1"/>
      <c r="AC12" s="1"/>
      <c r="AD12" s="177">
        <v>300</v>
      </c>
      <c r="AE12" s="177">
        <v>0</v>
      </c>
      <c r="AF12" s="177">
        <f>80+80+80+60</f>
        <v>300</v>
      </c>
      <c r="AG12" s="177">
        <f>AI12</f>
        <v>296.239</v>
      </c>
      <c r="AH12" s="177">
        <v>0</v>
      </c>
      <c r="AI12" s="177">
        <f>78.997+78.997+78.997+59.248</f>
        <v>296.239</v>
      </c>
      <c r="AJ12" s="57" t="s">
        <v>982</v>
      </c>
      <c r="AK12" s="57" t="s">
        <v>982</v>
      </c>
      <c r="AL12" s="57" t="s">
        <v>982</v>
      </c>
      <c r="AM12" s="177">
        <f>17+17+17+12</f>
        <v>63</v>
      </c>
      <c r="AN12" s="116">
        <v>0</v>
      </c>
      <c r="AO12" s="443">
        <v>0</v>
      </c>
      <c r="AP12" s="443">
        <f t="shared" si="0"/>
        <v>4.702206349206349</v>
      </c>
      <c r="AQ12" s="593" t="str">
        <f t="shared" si="1"/>
        <v>NA</v>
      </c>
      <c r="AR12" s="443" t="str">
        <f t="shared" si="2"/>
        <v>NA</v>
      </c>
      <c r="AS12" s="1" t="s">
        <v>829</v>
      </c>
    </row>
    <row r="13" spans="1:45" ht="51">
      <c r="A13" s="147" t="str">
        <f>"SCE 0"&amp;8</f>
        <v>SCE 08</v>
      </c>
      <c r="B13" s="41" t="s">
        <v>214</v>
      </c>
      <c r="C13" s="41" t="s">
        <v>213</v>
      </c>
      <c r="D13" s="41" t="s">
        <v>830</v>
      </c>
      <c r="E13" s="41"/>
      <c r="F13" s="27" t="s">
        <v>969</v>
      </c>
      <c r="G13" s="28"/>
      <c r="H13" s="29"/>
      <c r="I13" s="27"/>
      <c r="J13" s="28"/>
      <c r="K13" s="1" t="s">
        <v>1308</v>
      </c>
      <c r="L13" s="17" t="s">
        <v>1311</v>
      </c>
      <c r="M13" s="3" t="s">
        <v>1309</v>
      </c>
      <c r="N13" s="1" t="s">
        <v>1310</v>
      </c>
      <c r="O13" s="1"/>
      <c r="P13" s="1"/>
      <c r="Q13" s="1"/>
      <c r="R13" s="1"/>
      <c r="S13" s="1"/>
      <c r="T13" s="1"/>
      <c r="U13" s="1"/>
      <c r="V13" s="1"/>
      <c r="W13" s="1"/>
      <c r="X13" s="1"/>
      <c r="Y13" s="1"/>
      <c r="Z13" s="1"/>
      <c r="AA13" s="1"/>
      <c r="AB13" s="1"/>
      <c r="AC13" s="1"/>
      <c r="AD13" s="54" t="s">
        <v>982</v>
      </c>
      <c r="AE13" s="54" t="s">
        <v>982</v>
      </c>
      <c r="AF13" s="54" t="s">
        <v>982</v>
      </c>
      <c r="AG13" s="54" t="s">
        <v>982</v>
      </c>
      <c r="AH13" s="54" t="s">
        <v>982</v>
      </c>
      <c r="AI13" s="54" t="s">
        <v>982</v>
      </c>
      <c r="AJ13" s="57" t="s">
        <v>982</v>
      </c>
      <c r="AK13" s="57" t="s">
        <v>982</v>
      </c>
      <c r="AL13" s="57" t="s">
        <v>982</v>
      </c>
      <c r="AM13" s="177">
        <v>0</v>
      </c>
      <c r="AN13" s="116">
        <v>0</v>
      </c>
      <c r="AO13" s="443">
        <v>0</v>
      </c>
      <c r="AP13" s="443" t="str">
        <f t="shared" si="0"/>
        <v>NA</v>
      </c>
      <c r="AQ13" s="593" t="str">
        <f t="shared" si="1"/>
        <v>NA</v>
      </c>
      <c r="AR13" s="443" t="str">
        <f t="shared" si="2"/>
        <v>NA</v>
      </c>
      <c r="AS13" s="1" t="s">
        <v>831</v>
      </c>
    </row>
    <row r="14" spans="1:45" ht="63.75">
      <c r="A14" s="147" t="str">
        <f>"SCE 0"&amp;9</f>
        <v>SCE 09</v>
      </c>
      <c r="B14" s="41" t="s">
        <v>374</v>
      </c>
      <c r="C14" s="41" t="s">
        <v>213</v>
      </c>
      <c r="D14" s="41" t="s">
        <v>1312</v>
      </c>
      <c r="E14" s="41" t="s">
        <v>215</v>
      </c>
      <c r="F14" s="27" t="s">
        <v>969</v>
      </c>
      <c r="G14" s="28"/>
      <c r="H14" s="29"/>
      <c r="I14" s="27"/>
      <c r="J14" s="28"/>
      <c r="K14" s="1" t="s">
        <v>1377</v>
      </c>
      <c r="L14" s="17" t="s">
        <v>1378</v>
      </c>
      <c r="M14" s="3" t="s">
        <v>1379</v>
      </c>
      <c r="N14" s="1" t="s">
        <v>1310</v>
      </c>
      <c r="O14" s="1"/>
      <c r="P14" s="1"/>
      <c r="Q14" s="1"/>
      <c r="R14" s="1"/>
      <c r="S14" s="1"/>
      <c r="T14" s="1"/>
      <c r="U14" s="1"/>
      <c r="V14" s="1"/>
      <c r="W14" s="1"/>
      <c r="X14" s="1"/>
      <c r="Y14" s="1"/>
      <c r="Z14" s="1"/>
      <c r="AA14" s="1"/>
      <c r="AB14" s="1"/>
      <c r="AC14" s="1"/>
      <c r="AD14" s="177" t="s">
        <v>982</v>
      </c>
      <c r="AE14" s="177" t="s">
        <v>982</v>
      </c>
      <c r="AF14" s="177">
        <v>3210</v>
      </c>
      <c r="AG14" s="177">
        <v>1121</v>
      </c>
      <c r="AH14" s="177">
        <v>2218</v>
      </c>
      <c r="AI14" s="177">
        <f>SUM(AG14:AH14)</f>
        <v>3339</v>
      </c>
      <c r="AJ14" s="57" t="s">
        <v>982</v>
      </c>
      <c r="AK14" s="57" t="s">
        <v>982</v>
      </c>
      <c r="AL14" s="57" t="s">
        <v>982</v>
      </c>
      <c r="AM14" s="177">
        <v>30035</v>
      </c>
      <c r="AN14" s="116">
        <v>27.5</v>
      </c>
      <c r="AO14" s="443">
        <v>0</v>
      </c>
      <c r="AP14" s="443">
        <f t="shared" si="0"/>
        <v>0.11117030131513235</v>
      </c>
      <c r="AQ14" s="593">
        <f t="shared" si="1"/>
        <v>121.41818181818182</v>
      </c>
      <c r="AR14" s="443" t="str">
        <f t="shared" si="2"/>
        <v>NA</v>
      </c>
      <c r="AS14" s="1" t="s">
        <v>146</v>
      </c>
    </row>
    <row r="15" spans="1:45" ht="51">
      <c r="A15" s="147" t="str">
        <f>"SCE "&amp;10</f>
        <v>SCE 10</v>
      </c>
      <c r="B15" s="41" t="s">
        <v>370</v>
      </c>
      <c r="C15" s="41" t="s">
        <v>213</v>
      </c>
      <c r="D15" s="41" t="s">
        <v>369</v>
      </c>
      <c r="E15" s="41"/>
      <c r="F15" s="27" t="s">
        <v>969</v>
      </c>
      <c r="G15" s="28"/>
      <c r="H15" s="29"/>
      <c r="I15" s="27"/>
      <c r="J15" s="28"/>
      <c r="K15" s="1" t="s">
        <v>1308</v>
      </c>
      <c r="L15" s="17" t="s">
        <v>1311</v>
      </c>
      <c r="M15" s="3" t="s">
        <v>1309</v>
      </c>
      <c r="N15" s="1" t="s">
        <v>371</v>
      </c>
      <c r="O15" s="1"/>
      <c r="P15" s="1"/>
      <c r="Q15" s="1"/>
      <c r="R15" s="1"/>
      <c r="S15" s="1"/>
      <c r="T15" s="1"/>
      <c r="U15" s="1"/>
      <c r="V15" s="1"/>
      <c r="W15" s="1"/>
      <c r="X15" s="1"/>
      <c r="Y15" s="1"/>
      <c r="Z15" s="1"/>
      <c r="AA15" s="1"/>
      <c r="AB15" s="1"/>
      <c r="AC15" s="1"/>
      <c r="AD15" s="177">
        <v>400</v>
      </c>
      <c r="AE15" s="177">
        <v>0</v>
      </c>
      <c r="AF15" s="177">
        <v>400</v>
      </c>
      <c r="AG15" s="177">
        <v>400</v>
      </c>
      <c r="AH15" s="177">
        <v>0</v>
      </c>
      <c r="AI15" s="177">
        <v>400</v>
      </c>
      <c r="AJ15" s="57" t="s">
        <v>982</v>
      </c>
      <c r="AK15" s="57" t="s">
        <v>982</v>
      </c>
      <c r="AL15" s="57" t="s">
        <v>982</v>
      </c>
      <c r="AM15" s="177">
        <v>0</v>
      </c>
      <c r="AN15" s="116">
        <v>0</v>
      </c>
      <c r="AO15" s="443">
        <v>0</v>
      </c>
      <c r="AP15" s="443" t="str">
        <f t="shared" si="0"/>
        <v>NA</v>
      </c>
      <c r="AQ15" s="593" t="str">
        <f t="shared" si="1"/>
        <v>NA</v>
      </c>
      <c r="AR15" s="443" t="str">
        <f t="shared" si="2"/>
        <v>NA</v>
      </c>
      <c r="AS15" s="1"/>
    </row>
    <row r="16" spans="1:45" ht="25.5">
      <c r="A16" s="147" t="str">
        <f>"SCE "&amp;11</f>
        <v>SCE 11</v>
      </c>
      <c r="B16" s="41" t="s">
        <v>604</v>
      </c>
      <c r="C16" s="41" t="s">
        <v>147</v>
      </c>
      <c r="D16" s="41"/>
      <c r="E16" s="41"/>
      <c r="F16" s="27"/>
      <c r="G16" s="28"/>
      <c r="H16" s="29"/>
      <c r="I16" s="27"/>
      <c r="J16" s="28"/>
      <c r="K16" s="1"/>
      <c r="L16" s="17"/>
      <c r="M16" s="3"/>
      <c r="N16" s="1"/>
      <c r="O16" s="1"/>
      <c r="P16" s="1"/>
      <c r="Q16" s="1"/>
      <c r="R16" s="1"/>
      <c r="S16" s="1"/>
      <c r="T16" s="1"/>
      <c r="U16" s="1"/>
      <c r="V16" s="1"/>
      <c r="W16" s="1"/>
      <c r="X16" s="1"/>
      <c r="Y16" s="1"/>
      <c r="Z16" s="1"/>
      <c r="AA16" s="1"/>
      <c r="AB16" s="1"/>
      <c r="AC16" s="1"/>
      <c r="AD16" s="177" t="s">
        <v>982</v>
      </c>
      <c r="AE16" s="177" t="s">
        <v>982</v>
      </c>
      <c r="AF16" s="177">
        <v>2003</v>
      </c>
      <c r="AG16" s="177" t="s">
        <v>982</v>
      </c>
      <c r="AH16" s="177" t="s">
        <v>982</v>
      </c>
      <c r="AI16" s="177">
        <v>2003</v>
      </c>
      <c r="AJ16" s="57" t="s">
        <v>982</v>
      </c>
      <c r="AK16" s="57" t="s">
        <v>982</v>
      </c>
      <c r="AL16" s="57" t="s">
        <v>982</v>
      </c>
      <c r="AM16" s="177">
        <v>0</v>
      </c>
      <c r="AN16" s="116">
        <v>0</v>
      </c>
      <c r="AO16" s="443">
        <v>0</v>
      </c>
      <c r="AP16" s="443" t="str">
        <f t="shared" si="0"/>
        <v>NA</v>
      </c>
      <c r="AQ16" s="593" t="str">
        <f t="shared" si="1"/>
        <v>NA</v>
      </c>
      <c r="AR16" s="443" t="str">
        <f t="shared" si="2"/>
        <v>NA</v>
      </c>
      <c r="AS16" s="1"/>
    </row>
    <row r="17" spans="2:45" ht="12.75">
      <c r="B17" s="188" t="s">
        <v>1147</v>
      </c>
      <c r="C17" s="188" t="s">
        <v>1380</v>
      </c>
      <c r="D17" s="257"/>
      <c r="E17" s="257"/>
      <c r="F17" s="438"/>
      <c r="G17" s="438"/>
      <c r="H17" s="438"/>
      <c r="I17" s="438"/>
      <c r="J17" s="438"/>
      <c r="K17" s="439"/>
      <c r="L17" s="439"/>
      <c r="M17" s="439"/>
      <c r="N17" s="439"/>
      <c r="O17" s="439"/>
      <c r="P17" s="439"/>
      <c r="Q17" s="439"/>
      <c r="R17" s="439"/>
      <c r="S17" s="439"/>
      <c r="T17" s="439"/>
      <c r="U17" s="439"/>
      <c r="V17" s="439"/>
      <c r="W17" s="439"/>
      <c r="X17" s="439"/>
      <c r="Y17" s="439"/>
      <c r="Z17" s="439"/>
      <c r="AA17" s="439"/>
      <c r="AB17" s="439"/>
      <c r="AC17" s="439"/>
      <c r="AD17" s="513">
        <f>SUM(AD6:AD16)</f>
        <v>5447.25</v>
      </c>
      <c r="AE17" s="513">
        <f aca="true" t="shared" si="3" ref="AE17:AO17">SUM(AE6:AE16)</f>
        <v>0</v>
      </c>
      <c r="AF17" s="513">
        <f t="shared" si="3"/>
        <v>22876.75</v>
      </c>
      <c r="AG17" s="513">
        <f t="shared" si="3"/>
        <v>8291.535</v>
      </c>
      <c r="AH17" s="513">
        <f t="shared" si="3"/>
        <v>12736</v>
      </c>
      <c r="AI17" s="513">
        <f t="shared" si="3"/>
        <v>27747.035</v>
      </c>
      <c r="AJ17" s="352">
        <f t="shared" si="3"/>
        <v>0</v>
      </c>
      <c r="AK17" s="352">
        <f t="shared" si="3"/>
        <v>0</v>
      </c>
      <c r="AL17" s="352">
        <f t="shared" si="3"/>
        <v>0</v>
      </c>
      <c r="AM17" s="513">
        <f t="shared" si="3"/>
        <v>119657</v>
      </c>
      <c r="AN17" s="512">
        <f t="shared" si="3"/>
        <v>51.22</v>
      </c>
      <c r="AO17" s="511">
        <f t="shared" si="3"/>
        <v>0</v>
      </c>
      <c r="AP17" s="511">
        <f t="shared" si="0"/>
        <v>0.23188810516726976</v>
      </c>
      <c r="AQ17" s="594">
        <f t="shared" si="1"/>
        <v>541.7226669269817</v>
      </c>
      <c r="AR17" s="511" t="str">
        <f t="shared" si="2"/>
        <v>NA</v>
      </c>
      <c r="AS17" s="404"/>
    </row>
    <row r="18" spans="1:45" ht="114.75">
      <c r="A18" s="147" t="str">
        <f>"SCE "&amp;12</f>
        <v>SCE 12</v>
      </c>
      <c r="B18" s="41" t="s">
        <v>739</v>
      </c>
      <c r="C18" s="41" t="s">
        <v>738</v>
      </c>
      <c r="D18" s="41" t="s">
        <v>1253</v>
      </c>
      <c r="E18" s="41"/>
      <c r="F18" s="27" t="s">
        <v>969</v>
      </c>
      <c r="G18" s="28"/>
      <c r="H18" s="29"/>
      <c r="I18" s="27"/>
      <c r="J18" s="28"/>
      <c r="K18" s="1"/>
      <c r="L18" s="17"/>
      <c r="M18" s="3"/>
      <c r="N18" s="1"/>
      <c r="O18" s="1"/>
      <c r="P18" s="1"/>
      <c r="Q18" s="1"/>
      <c r="R18" s="1"/>
      <c r="S18" s="1"/>
      <c r="T18" s="1"/>
      <c r="U18" s="1"/>
      <c r="V18" s="1"/>
      <c r="W18" s="1"/>
      <c r="X18" s="1"/>
      <c r="Y18" s="1"/>
      <c r="Z18" s="1"/>
      <c r="AA18" s="1"/>
      <c r="AB18" s="1"/>
      <c r="AC18" s="1"/>
      <c r="AD18" s="177" t="s">
        <v>982</v>
      </c>
      <c r="AE18" s="177" t="s">
        <v>982</v>
      </c>
      <c r="AF18" s="177">
        <f>470.655+309.414+264.414+135.69+163.068+442.759</f>
        <v>1786</v>
      </c>
      <c r="AG18" s="54" t="s">
        <v>982</v>
      </c>
      <c r="AH18" s="54" t="s">
        <v>982</v>
      </c>
      <c r="AI18" s="177">
        <f>470.304+309.099+264.262+135.295+162.767+442.476</f>
        <v>1784.203</v>
      </c>
      <c r="AJ18" s="57" t="s">
        <v>982</v>
      </c>
      <c r="AK18" s="1" t="s">
        <v>982</v>
      </c>
      <c r="AL18" s="1" t="s">
        <v>982</v>
      </c>
      <c r="AM18" s="177">
        <v>0</v>
      </c>
      <c r="AN18" s="116">
        <v>0</v>
      </c>
      <c r="AO18" s="443">
        <v>0</v>
      </c>
      <c r="AP18" s="443" t="str">
        <f t="shared" si="0"/>
        <v>NA</v>
      </c>
      <c r="AQ18" s="593" t="str">
        <f t="shared" si="1"/>
        <v>NA</v>
      </c>
      <c r="AR18" s="443" t="str">
        <f t="shared" si="2"/>
        <v>NA</v>
      </c>
      <c r="AS18" s="1"/>
    </row>
    <row r="19" spans="1:45" ht="114.75">
      <c r="A19" s="147" t="str">
        <f>"SCE "&amp;13</f>
        <v>SCE 13</v>
      </c>
      <c r="B19" s="41" t="s">
        <v>368</v>
      </c>
      <c r="C19" s="41" t="s">
        <v>738</v>
      </c>
      <c r="D19" s="41" t="s">
        <v>958</v>
      </c>
      <c r="E19" s="41"/>
      <c r="F19" s="27" t="s">
        <v>969</v>
      </c>
      <c r="G19" s="28"/>
      <c r="H19" s="29"/>
      <c r="I19" s="27"/>
      <c r="J19" s="28"/>
      <c r="K19" s="1" t="s">
        <v>854</v>
      </c>
      <c r="L19" s="1" t="s">
        <v>855</v>
      </c>
      <c r="M19" s="1" t="s">
        <v>856</v>
      </c>
      <c r="N19" s="1" t="s">
        <v>641</v>
      </c>
      <c r="O19" s="1" t="s">
        <v>855</v>
      </c>
      <c r="P19" s="1" t="s">
        <v>856</v>
      </c>
      <c r="Q19" s="1"/>
      <c r="R19" s="1"/>
      <c r="S19" s="1"/>
      <c r="T19" s="1"/>
      <c r="U19" s="1"/>
      <c r="V19" s="1"/>
      <c r="W19" s="1"/>
      <c r="X19" s="1"/>
      <c r="Y19" s="1" t="s">
        <v>1170</v>
      </c>
      <c r="Z19" s="1"/>
      <c r="AA19" s="1"/>
      <c r="AB19" s="1"/>
      <c r="AC19" s="1"/>
      <c r="AD19" s="177" t="s">
        <v>982</v>
      </c>
      <c r="AE19" s="177" t="s">
        <v>982</v>
      </c>
      <c r="AF19" s="54">
        <f>170+988.25+50+15+15+66.168</f>
        <v>1304.4180000000001</v>
      </c>
      <c r="AG19" s="177">
        <v>272</v>
      </c>
      <c r="AH19" s="177">
        <f>AI19-AG19</f>
        <v>1016.5509999999999</v>
      </c>
      <c r="AI19" s="177">
        <f>169.387+973.509+49.82+14.946+14.96+65.929</f>
        <v>1288.551</v>
      </c>
      <c r="AJ19" s="57" t="s">
        <v>982</v>
      </c>
      <c r="AK19" s="1" t="s">
        <v>982</v>
      </c>
      <c r="AL19" s="1" t="s">
        <v>982</v>
      </c>
      <c r="AM19" s="177">
        <v>0</v>
      </c>
      <c r="AN19" s="116">
        <v>0</v>
      </c>
      <c r="AO19" s="443">
        <v>0</v>
      </c>
      <c r="AP19" s="443" t="str">
        <f t="shared" si="0"/>
        <v>NA</v>
      </c>
      <c r="AQ19" s="593" t="str">
        <f t="shared" si="1"/>
        <v>NA</v>
      </c>
      <c r="AR19" s="443" t="str">
        <f t="shared" si="2"/>
        <v>NA</v>
      </c>
      <c r="AS19" s="1" t="s">
        <v>755</v>
      </c>
    </row>
    <row r="20" spans="1:45" ht="127.5">
      <c r="A20" s="147" t="str">
        <f>"SCE "&amp;14</f>
        <v>SCE 14</v>
      </c>
      <c r="B20" s="41" t="s">
        <v>21</v>
      </c>
      <c r="C20" s="41" t="s">
        <v>965</v>
      </c>
      <c r="D20" s="41" t="s">
        <v>964</v>
      </c>
      <c r="E20" s="41"/>
      <c r="F20" s="27" t="s">
        <v>969</v>
      </c>
      <c r="G20" s="28"/>
      <c r="H20" s="29"/>
      <c r="I20" s="27"/>
      <c r="J20" s="28"/>
      <c r="K20" s="1" t="s">
        <v>854</v>
      </c>
      <c r="L20" s="1" t="s">
        <v>855</v>
      </c>
      <c r="M20" s="1" t="s">
        <v>856</v>
      </c>
      <c r="N20" s="1" t="s">
        <v>1167</v>
      </c>
      <c r="O20" s="1" t="s">
        <v>855</v>
      </c>
      <c r="P20" s="1" t="s">
        <v>856</v>
      </c>
      <c r="Q20" s="1"/>
      <c r="R20" s="1"/>
      <c r="S20" s="1"/>
      <c r="T20" s="1"/>
      <c r="U20" s="1"/>
      <c r="V20" s="1"/>
      <c r="W20" s="1"/>
      <c r="X20" s="1"/>
      <c r="Y20" s="1" t="s">
        <v>1170</v>
      </c>
      <c r="Z20" s="1"/>
      <c r="AA20" s="1"/>
      <c r="AB20" s="1"/>
      <c r="AC20" s="1"/>
      <c r="AD20" s="177" t="s">
        <v>982</v>
      </c>
      <c r="AE20" s="177" t="s">
        <v>982</v>
      </c>
      <c r="AF20" s="54" t="s">
        <v>982</v>
      </c>
      <c r="AG20" s="54" t="s">
        <v>982</v>
      </c>
      <c r="AH20" s="54" t="s">
        <v>982</v>
      </c>
      <c r="AI20" s="54" t="s">
        <v>982</v>
      </c>
      <c r="AJ20" s="57" t="s">
        <v>982</v>
      </c>
      <c r="AK20" s="1" t="s">
        <v>982</v>
      </c>
      <c r="AL20" s="1" t="s">
        <v>982</v>
      </c>
      <c r="AM20" s="177">
        <v>0</v>
      </c>
      <c r="AN20" s="116">
        <v>0</v>
      </c>
      <c r="AO20" s="443">
        <v>0</v>
      </c>
      <c r="AP20" s="443" t="str">
        <f t="shared" si="0"/>
        <v>NA</v>
      </c>
      <c r="AQ20" s="593" t="str">
        <f t="shared" si="1"/>
        <v>NA</v>
      </c>
      <c r="AR20" s="443" t="str">
        <f t="shared" si="2"/>
        <v>NA</v>
      </c>
      <c r="AS20" s="1" t="s">
        <v>755</v>
      </c>
    </row>
    <row r="21" spans="1:45" ht="102">
      <c r="A21" s="147" t="str">
        <f>"SCE "&amp;15</f>
        <v>SCE 15</v>
      </c>
      <c r="B21" s="41" t="s">
        <v>959</v>
      </c>
      <c r="C21" s="41" t="s">
        <v>741</v>
      </c>
      <c r="D21" s="41" t="s">
        <v>740</v>
      </c>
      <c r="E21" s="41"/>
      <c r="F21" s="27" t="s">
        <v>969</v>
      </c>
      <c r="G21" s="28"/>
      <c r="H21" s="29"/>
      <c r="I21" s="27"/>
      <c r="J21" s="28"/>
      <c r="K21" s="1" t="s">
        <v>642</v>
      </c>
      <c r="L21" s="1" t="s">
        <v>643</v>
      </c>
      <c r="M21" s="1" t="s">
        <v>644</v>
      </c>
      <c r="N21" s="1" t="s">
        <v>718</v>
      </c>
      <c r="O21" s="1" t="s">
        <v>643</v>
      </c>
      <c r="P21" s="1" t="s">
        <v>644</v>
      </c>
      <c r="Q21" s="1"/>
      <c r="R21" s="1"/>
      <c r="S21" s="1"/>
      <c r="T21" s="1"/>
      <c r="U21" s="1"/>
      <c r="V21" s="1"/>
      <c r="W21" s="1"/>
      <c r="X21" s="1"/>
      <c r="Y21" s="1" t="s">
        <v>1170</v>
      </c>
      <c r="Z21" s="1"/>
      <c r="AA21" s="1"/>
      <c r="AB21" s="1"/>
      <c r="AC21" s="1"/>
      <c r="AD21" s="177" t="s">
        <v>982</v>
      </c>
      <c r="AE21" s="177" t="s">
        <v>982</v>
      </c>
      <c r="AF21" s="177">
        <f>1058+536+262+244</f>
        <v>2100</v>
      </c>
      <c r="AG21" s="54" t="s">
        <v>982</v>
      </c>
      <c r="AH21" s="54" t="s">
        <v>982</v>
      </c>
      <c r="AI21" s="177">
        <f>992.926+503.033+245.885+228.992</f>
        <v>1970.836</v>
      </c>
      <c r="AJ21" s="57" t="s">
        <v>982</v>
      </c>
      <c r="AK21" s="1" t="s">
        <v>982</v>
      </c>
      <c r="AL21" s="1" t="s">
        <v>982</v>
      </c>
      <c r="AM21" s="177">
        <f>7286+3691</f>
        <v>10977</v>
      </c>
      <c r="AN21" s="116">
        <f>2.19+1.11</f>
        <v>3.3</v>
      </c>
      <c r="AO21" s="443">
        <v>0</v>
      </c>
      <c r="AP21" s="443">
        <f t="shared" si="0"/>
        <v>0.17954231575111598</v>
      </c>
      <c r="AQ21" s="593">
        <f t="shared" si="1"/>
        <v>597.2230303030303</v>
      </c>
      <c r="AR21" s="443" t="str">
        <f t="shared" si="2"/>
        <v>NA</v>
      </c>
      <c r="AS21" s="1"/>
    </row>
    <row r="22" spans="1:45" ht="140.25">
      <c r="A22" s="147" t="str">
        <f>"SCE "&amp;16</f>
        <v>SCE 16</v>
      </c>
      <c r="B22" s="41" t="s">
        <v>744</v>
      </c>
      <c r="C22" s="41" t="s">
        <v>745</v>
      </c>
      <c r="D22" s="41" t="s">
        <v>750</v>
      </c>
      <c r="E22" s="41"/>
      <c r="F22" s="27" t="s">
        <v>969</v>
      </c>
      <c r="G22" s="28"/>
      <c r="H22" s="29"/>
      <c r="I22" s="27"/>
      <c r="J22" s="28"/>
      <c r="K22" s="1" t="s">
        <v>633</v>
      </c>
      <c r="L22" s="1" t="s">
        <v>634</v>
      </c>
      <c r="M22" s="1" t="s">
        <v>635</v>
      </c>
      <c r="N22" s="1" t="s">
        <v>636</v>
      </c>
      <c r="O22" s="1" t="s">
        <v>634</v>
      </c>
      <c r="P22" s="1" t="s">
        <v>635</v>
      </c>
      <c r="Q22" s="1"/>
      <c r="R22" s="1"/>
      <c r="S22" s="1"/>
      <c r="T22" s="1"/>
      <c r="U22" s="1"/>
      <c r="V22" s="1"/>
      <c r="W22" s="1"/>
      <c r="X22" s="1"/>
      <c r="Y22" s="1" t="s">
        <v>1170</v>
      </c>
      <c r="Z22" s="1"/>
      <c r="AA22" s="1"/>
      <c r="AB22" s="1"/>
      <c r="AC22" s="1"/>
      <c r="AD22" s="177" t="s">
        <v>982</v>
      </c>
      <c r="AE22" s="177" t="s">
        <v>982</v>
      </c>
      <c r="AF22" s="177">
        <v>722.5</v>
      </c>
      <c r="AG22" s="54" t="s">
        <v>982</v>
      </c>
      <c r="AH22" s="54" t="s">
        <v>982</v>
      </c>
      <c r="AI22" s="177">
        <v>644.976</v>
      </c>
      <c r="AJ22" s="57" t="s">
        <v>982</v>
      </c>
      <c r="AK22" s="1" t="s">
        <v>982</v>
      </c>
      <c r="AL22" s="1" t="s">
        <v>982</v>
      </c>
      <c r="AM22" s="177">
        <v>739</v>
      </c>
      <c r="AN22" s="116">
        <v>0.81</v>
      </c>
      <c r="AO22" s="443">
        <v>0</v>
      </c>
      <c r="AP22" s="443">
        <f t="shared" si="0"/>
        <v>0.8727686062246279</v>
      </c>
      <c r="AQ22" s="593">
        <f t="shared" si="1"/>
        <v>796.2666666666667</v>
      </c>
      <c r="AR22" s="443" t="str">
        <f t="shared" si="2"/>
        <v>NA</v>
      </c>
      <c r="AS22" s="1"/>
    </row>
    <row r="23" spans="1:45" ht="89.25">
      <c r="A23" s="147" t="str">
        <f>"SCE "&amp;17</f>
        <v>SCE 17</v>
      </c>
      <c r="B23" s="41" t="s">
        <v>742</v>
      </c>
      <c r="C23" s="41" t="s">
        <v>743</v>
      </c>
      <c r="D23" s="41" t="s">
        <v>1344</v>
      </c>
      <c r="E23" s="41"/>
      <c r="F23" s="27" t="s">
        <v>969</v>
      </c>
      <c r="G23" s="28"/>
      <c r="H23" s="29"/>
      <c r="I23" s="27"/>
      <c r="J23" s="28"/>
      <c r="K23" s="1" t="s">
        <v>847</v>
      </c>
      <c r="L23" s="1" t="s">
        <v>848</v>
      </c>
      <c r="M23" s="1" t="s">
        <v>849</v>
      </c>
      <c r="N23" s="1" t="s">
        <v>850</v>
      </c>
      <c r="O23" s="1" t="s">
        <v>848</v>
      </c>
      <c r="P23" s="1" t="s">
        <v>849</v>
      </c>
      <c r="Q23" s="1"/>
      <c r="R23" s="1"/>
      <c r="S23" s="1"/>
      <c r="T23" s="1"/>
      <c r="U23" s="1"/>
      <c r="V23" s="1"/>
      <c r="W23" s="1"/>
      <c r="X23" s="1"/>
      <c r="Y23" s="1" t="s">
        <v>1170</v>
      </c>
      <c r="Z23" s="1"/>
      <c r="AA23" s="1"/>
      <c r="AB23" s="1"/>
      <c r="AC23" s="1"/>
      <c r="AD23" s="177" t="s">
        <v>982</v>
      </c>
      <c r="AE23" s="177" t="s">
        <v>982</v>
      </c>
      <c r="AF23" s="177">
        <f>129.75+120+167.75+130+74.75+70+105+112.525+150</f>
        <v>1059.775</v>
      </c>
      <c r="AG23" s="177" t="s">
        <v>982</v>
      </c>
      <c r="AH23" s="177" t="s">
        <v>982</v>
      </c>
      <c r="AI23" s="177">
        <f>129.352+115.802+167.235+125.452+74.521+67.551+101.327+112.18+144.753</f>
        <v>1038.173</v>
      </c>
      <c r="AJ23" s="57" t="s">
        <v>982</v>
      </c>
      <c r="AK23" s="1" t="s">
        <v>982</v>
      </c>
      <c r="AL23" s="1" t="s">
        <v>982</v>
      </c>
      <c r="AM23" s="177">
        <v>0</v>
      </c>
      <c r="AN23" s="116">
        <v>0</v>
      </c>
      <c r="AO23" s="443">
        <v>0</v>
      </c>
      <c r="AP23" s="443" t="str">
        <f t="shared" si="0"/>
        <v>NA</v>
      </c>
      <c r="AQ23" s="593" t="str">
        <f t="shared" si="1"/>
        <v>NA</v>
      </c>
      <c r="AR23" s="443" t="str">
        <f t="shared" si="2"/>
        <v>NA</v>
      </c>
      <c r="AS23" s="1"/>
    </row>
    <row r="24" spans="1:45" ht="114.75">
      <c r="A24" s="147" t="str">
        <f>"SCE "&amp;18</f>
        <v>SCE 18</v>
      </c>
      <c r="B24" s="41" t="s">
        <v>1254</v>
      </c>
      <c r="C24" s="41" t="s">
        <v>603</v>
      </c>
      <c r="D24" s="41" t="s">
        <v>1375</v>
      </c>
      <c r="E24" s="41"/>
      <c r="F24" s="27" t="s">
        <v>969</v>
      </c>
      <c r="G24" s="28"/>
      <c r="H24" s="29"/>
      <c r="I24" s="27"/>
      <c r="J24" s="28"/>
      <c r="K24" s="1" t="s">
        <v>637</v>
      </c>
      <c r="L24" s="1" t="s">
        <v>638</v>
      </c>
      <c r="M24" s="1" t="s">
        <v>639</v>
      </c>
      <c r="N24" s="1" t="s">
        <v>640</v>
      </c>
      <c r="O24" s="1" t="s">
        <v>638</v>
      </c>
      <c r="P24" s="1" t="s">
        <v>639</v>
      </c>
      <c r="Q24" s="1"/>
      <c r="R24" s="1"/>
      <c r="S24" s="1"/>
      <c r="T24" s="1"/>
      <c r="U24" s="1"/>
      <c r="V24" s="1"/>
      <c r="W24" s="1"/>
      <c r="X24" s="1"/>
      <c r="Y24" s="1" t="s">
        <v>1170</v>
      </c>
      <c r="Z24" s="1"/>
      <c r="AA24" s="1"/>
      <c r="AB24" s="1"/>
      <c r="AC24" s="1"/>
      <c r="AD24" s="177" t="s">
        <v>982</v>
      </c>
      <c r="AE24" s="177" t="s">
        <v>982</v>
      </c>
      <c r="AF24" s="177">
        <f>2250+3441+4737+60+995+1200</f>
        <v>12683</v>
      </c>
      <c r="AG24" s="177">
        <v>1983</v>
      </c>
      <c r="AH24" s="177">
        <f>AI24-AG24</f>
        <v>10449.779</v>
      </c>
      <c r="AI24" s="177">
        <f>2573.318+3337.391+3953.463+58.193+1137.978+1372.436</f>
        <v>12432.779</v>
      </c>
      <c r="AJ24" s="57" t="s">
        <v>982</v>
      </c>
      <c r="AK24" s="1" t="s">
        <v>982</v>
      </c>
      <c r="AL24" s="1" t="s">
        <v>982</v>
      </c>
      <c r="AM24" s="177">
        <v>188864</v>
      </c>
      <c r="AN24" s="116">
        <v>34.17</v>
      </c>
      <c r="AO24" s="443">
        <v>0</v>
      </c>
      <c r="AP24" s="443">
        <f t="shared" si="0"/>
        <v>0.06582926868010844</v>
      </c>
      <c r="AQ24" s="593">
        <f t="shared" si="1"/>
        <v>363.8507170032192</v>
      </c>
      <c r="AR24" s="443" t="str">
        <f t="shared" si="2"/>
        <v>NA</v>
      </c>
      <c r="AS24" s="1" t="s">
        <v>751</v>
      </c>
    </row>
    <row r="25" spans="1:45" ht="38.25">
      <c r="A25" s="147" t="str">
        <f>"SCE "&amp;19</f>
        <v>SCE 19</v>
      </c>
      <c r="B25" s="41" t="s">
        <v>753</v>
      </c>
      <c r="C25" s="41" t="s">
        <v>752</v>
      </c>
      <c r="D25" s="41" t="s">
        <v>754</v>
      </c>
      <c r="E25" s="41"/>
      <c r="F25" s="27"/>
      <c r="G25" s="28"/>
      <c r="H25" s="29"/>
      <c r="I25" s="27"/>
      <c r="J25" s="28"/>
      <c r="K25" s="1"/>
      <c r="L25" s="1"/>
      <c r="M25" s="1"/>
      <c r="N25" s="1"/>
      <c r="O25" s="1"/>
      <c r="P25" s="1"/>
      <c r="Q25" s="1"/>
      <c r="R25" s="1"/>
      <c r="S25" s="1"/>
      <c r="T25" s="1"/>
      <c r="U25" s="1"/>
      <c r="V25" s="1"/>
      <c r="W25" s="1"/>
      <c r="X25" s="1"/>
      <c r="Y25" s="1"/>
      <c r="Z25" s="1"/>
      <c r="AA25" s="1"/>
      <c r="AB25" s="1"/>
      <c r="AC25" s="1"/>
      <c r="AD25" s="177" t="s">
        <v>982</v>
      </c>
      <c r="AE25" s="177" t="s">
        <v>982</v>
      </c>
      <c r="AF25" s="177" t="s">
        <v>982</v>
      </c>
      <c r="AG25" s="177" t="s">
        <v>602</v>
      </c>
      <c r="AH25" s="177">
        <v>3467</v>
      </c>
      <c r="AI25" s="177">
        <v>3467</v>
      </c>
      <c r="AJ25" s="57" t="s">
        <v>982</v>
      </c>
      <c r="AK25" s="1" t="s">
        <v>982</v>
      </c>
      <c r="AL25" s="1" t="s">
        <v>982</v>
      </c>
      <c r="AM25" s="177">
        <v>31300</v>
      </c>
      <c r="AN25" s="116">
        <v>7</v>
      </c>
      <c r="AO25" s="443"/>
      <c r="AP25" s="443">
        <f t="shared" si="0"/>
        <v>0.1107667731629393</v>
      </c>
      <c r="AQ25" s="593">
        <f t="shared" si="1"/>
        <v>495.2857142857143</v>
      </c>
      <c r="AR25" s="443" t="str">
        <f t="shared" si="2"/>
        <v>NA</v>
      </c>
      <c r="AS25" s="1"/>
    </row>
    <row r="26" spans="1:45" ht="127.5">
      <c r="A26" s="147" t="str">
        <f>"SCE "&amp;20</f>
        <v>SCE 20</v>
      </c>
      <c r="B26" s="41" t="s">
        <v>841</v>
      </c>
      <c r="C26" s="41" t="s">
        <v>1340</v>
      </c>
      <c r="D26" s="41" t="s">
        <v>1341</v>
      </c>
      <c r="E26" s="41"/>
      <c r="F26" s="27" t="s">
        <v>969</v>
      </c>
      <c r="G26" s="28"/>
      <c r="H26" s="29"/>
      <c r="I26" s="27"/>
      <c r="J26" s="28"/>
      <c r="K26" s="1" t="s">
        <v>619</v>
      </c>
      <c r="L26" s="1" t="s">
        <v>620</v>
      </c>
      <c r="M26" s="1" t="s">
        <v>621</v>
      </c>
      <c r="N26" s="1" t="s">
        <v>622</v>
      </c>
      <c r="O26" s="1" t="s">
        <v>620</v>
      </c>
      <c r="P26" s="1" t="s">
        <v>621</v>
      </c>
      <c r="Q26" s="1" t="s">
        <v>623</v>
      </c>
      <c r="R26" s="1" t="s">
        <v>624</v>
      </c>
      <c r="S26" s="1" t="s">
        <v>625</v>
      </c>
      <c r="T26" s="1" t="s">
        <v>626</v>
      </c>
      <c r="U26" s="1" t="s">
        <v>627</v>
      </c>
      <c r="V26" s="1" t="s">
        <v>161</v>
      </c>
      <c r="W26" s="1" t="s">
        <v>1216</v>
      </c>
      <c r="X26" s="1" t="s">
        <v>628</v>
      </c>
      <c r="Y26" s="1" t="s">
        <v>1170</v>
      </c>
      <c r="Z26" s="1" t="s">
        <v>1168</v>
      </c>
      <c r="AA26" s="1"/>
      <c r="AB26" s="1"/>
      <c r="AC26" s="1"/>
      <c r="AD26" s="177" t="s">
        <v>982</v>
      </c>
      <c r="AE26" s="177" t="s">
        <v>982</v>
      </c>
      <c r="AF26" s="177">
        <f>AI26</f>
        <v>6526.73</v>
      </c>
      <c r="AG26" s="177">
        <v>672</v>
      </c>
      <c r="AH26" s="177">
        <v>5854</v>
      </c>
      <c r="AI26" s="177">
        <f>1720.5+1980+540+800+1486.23</f>
        <v>6526.73</v>
      </c>
      <c r="AJ26" s="57" t="s">
        <v>982</v>
      </c>
      <c r="AK26" s="1" t="s">
        <v>982</v>
      </c>
      <c r="AL26" s="1" t="s">
        <v>982</v>
      </c>
      <c r="AM26" s="177">
        <v>33647</v>
      </c>
      <c r="AN26" s="116">
        <v>6.22</v>
      </c>
      <c r="AO26" s="443">
        <v>0</v>
      </c>
      <c r="AP26" s="443">
        <f t="shared" si="0"/>
        <v>0.19397658037863702</v>
      </c>
      <c r="AQ26" s="593">
        <f t="shared" si="1"/>
        <v>1049.313504823151</v>
      </c>
      <c r="AR26" s="443" t="str">
        <f t="shared" si="2"/>
        <v>NA</v>
      </c>
      <c r="AS26" s="1" t="s">
        <v>1169</v>
      </c>
    </row>
    <row r="27" spans="1:45" ht="89.25">
      <c r="A27" s="147" t="str">
        <f>"SCE "&amp;21</f>
        <v>SCE 21</v>
      </c>
      <c r="B27" s="41" t="s">
        <v>1342</v>
      </c>
      <c r="C27" s="41" t="s">
        <v>1343</v>
      </c>
      <c r="D27" s="41" t="s">
        <v>1341</v>
      </c>
      <c r="E27" s="41"/>
      <c r="F27" s="27" t="s">
        <v>969</v>
      </c>
      <c r="G27" s="28"/>
      <c r="H27" s="29"/>
      <c r="I27" s="27"/>
      <c r="J27" s="28"/>
      <c r="K27" s="1" t="s">
        <v>629</v>
      </c>
      <c r="L27" s="1" t="s">
        <v>630</v>
      </c>
      <c r="M27" s="1" t="s">
        <v>631</v>
      </c>
      <c r="N27" s="1" t="s">
        <v>632</v>
      </c>
      <c r="O27" s="1" t="s">
        <v>630</v>
      </c>
      <c r="P27" s="1" t="s">
        <v>631</v>
      </c>
      <c r="Q27" s="1"/>
      <c r="R27" s="1"/>
      <c r="S27" s="1"/>
      <c r="T27" s="1"/>
      <c r="U27" s="1"/>
      <c r="V27" s="1"/>
      <c r="W27" s="1"/>
      <c r="X27" s="1"/>
      <c r="Y27" s="1" t="s">
        <v>1170</v>
      </c>
      <c r="Z27" s="1"/>
      <c r="AA27" s="1"/>
      <c r="AB27" s="1"/>
      <c r="AC27" s="1"/>
      <c r="AD27" s="177" t="s">
        <v>982</v>
      </c>
      <c r="AE27" s="177" t="s">
        <v>982</v>
      </c>
      <c r="AF27" s="177">
        <v>1943</v>
      </c>
      <c r="AG27" s="177">
        <v>457</v>
      </c>
      <c r="AH27" s="177">
        <v>1486</v>
      </c>
      <c r="AI27" s="177">
        <f>SUM(AG27:AH27)</f>
        <v>1943</v>
      </c>
      <c r="AJ27" s="57" t="s">
        <v>982</v>
      </c>
      <c r="AK27" s="1" t="s">
        <v>982</v>
      </c>
      <c r="AL27" s="1" t="s">
        <v>982</v>
      </c>
      <c r="AM27" s="177">
        <v>7770</v>
      </c>
      <c r="AN27" s="116">
        <v>1.54</v>
      </c>
      <c r="AO27" s="443">
        <v>0</v>
      </c>
      <c r="AP27" s="443">
        <f t="shared" si="0"/>
        <v>0.25006435006435007</v>
      </c>
      <c r="AQ27" s="593">
        <f t="shared" si="1"/>
        <v>1261.6883116883116</v>
      </c>
      <c r="AR27" s="443" t="str">
        <f t="shared" si="2"/>
        <v>NA</v>
      </c>
      <c r="AS27" s="1" t="s">
        <v>1169</v>
      </c>
    </row>
    <row r="28" spans="1:45" ht="89.25">
      <c r="A28" s="147" t="str">
        <f>"SCE "&amp;22</f>
        <v>SCE 22</v>
      </c>
      <c r="B28" s="41" t="s">
        <v>604</v>
      </c>
      <c r="C28" s="41" t="s">
        <v>1255</v>
      </c>
      <c r="D28" s="41" t="s">
        <v>1257</v>
      </c>
      <c r="E28" s="41"/>
      <c r="F28" s="27" t="s">
        <v>969</v>
      </c>
      <c r="G28" s="28"/>
      <c r="H28" s="29"/>
      <c r="I28" s="27"/>
      <c r="J28" s="28"/>
      <c r="K28" s="1"/>
      <c r="L28" s="1"/>
      <c r="M28" s="1"/>
      <c r="N28" s="1"/>
      <c r="O28" s="1"/>
      <c r="P28" s="1"/>
      <c r="Q28" s="1"/>
      <c r="R28" s="1"/>
      <c r="S28" s="1"/>
      <c r="T28" s="1"/>
      <c r="U28" s="1"/>
      <c r="V28" s="1"/>
      <c r="W28" s="1"/>
      <c r="X28" s="1"/>
      <c r="Y28" s="1"/>
      <c r="Z28" s="1"/>
      <c r="AA28" s="1"/>
      <c r="AB28" s="1"/>
      <c r="AC28" s="1"/>
      <c r="AD28" s="54" t="s">
        <v>982</v>
      </c>
      <c r="AE28" s="54" t="s">
        <v>982</v>
      </c>
      <c r="AF28" s="177">
        <f>1910.122+810.814</f>
        <v>2720.936</v>
      </c>
      <c r="AG28" s="54" t="s">
        <v>982</v>
      </c>
      <c r="AH28" s="54" t="s">
        <v>982</v>
      </c>
      <c r="AI28" s="177">
        <f>AF28</f>
        <v>2720.936</v>
      </c>
      <c r="AJ28" s="57"/>
      <c r="AK28" s="1"/>
      <c r="AL28" s="1"/>
      <c r="AM28" s="177">
        <v>0</v>
      </c>
      <c r="AN28" s="116">
        <v>0</v>
      </c>
      <c r="AO28" s="587" t="s">
        <v>1324</v>
      </c>
      <c r="AP28" s="443" t="str">
        <f t="shared" si="0"/>
        <v>NA</v>
      </c>
      <c r="AQ28" s="593" t="str">
        <f t="shared" si="1"/>
        <v>NA</v>
      </c>
      <c r="AR28" s="443"/>
      <c r="AS28" s="1"/>
    </row>
    <row r="29" spans="1:45" ht="89.25">
      <c r="A29" s="147" t="str">
        <f>"SCE "&amp;23</f>
        <v>SCE 23</v>
      </c>
      <c r="B29" s="41" t="s">
        <v>541</v>
      </c>
      <c r="C29" s="41" t="s">
        <v>756</v>
      </c>
      <c r="D29" s="41" t="s">
        <v>22</v>
      </c>
      <c r="E29" s="41"/>
      <c r="F29" s="27" t="s">
        <v>969</v>
      </c>
      <c r="G29" s="28"/>
      <c r="H29" s="29"/>
      <c r="I29" s="27"/>
      <c r="J29" s="28"/>
      <c r="K29" s="1" t="s">
        <v>1163</v>
      </c>
      <c r="L29" s="1" t="s">
        <v>1164</v>
      </c>
      <c r="M29" s="1" t="s">
        <v>1165</v>
      </c>
      <c r="N29" s="1" t="s">
        <v>1166</v>
      </c>
      <c r="O29" s="1" t="s">
        <v>1164</v>
      </c>
      <c r="P29" s="1" t="s">
        <v>1165</v>
      </c>
      <c r="Q29" s="1"/>
      <c r="R29" s="1"/>
      <c r="S29" s="1"/>
      <c r="T29" s="1"/>
      <c r="U29" s="1"/>
      <c r="V29" s="1"/>
      <c r="W29" s="1"/>
      <c r="X29" s="1"/>
      <c r="Y29" s="1" t="s">
        <v>1170</v>
      </c>
      <c r="Z29" s="1"/>
      <c r="AA29" s="1"/>
      <c r="AB29" s="1"/>
      <c r="AC29" s="1"/>
      <c r="AD29" s="177">
        <v>300</v>
      </c>
      <c r="AE29" s="177" t="s">
        <v>982</v>
      </c>
      <c r="AF29" s="177">
        <v>300</v>
      </c>
      <c r="AG29" s="177">
        <v>300</v>
      </c>
      <c r="AH29" s="177">
        <v>0</v>
      </c>
      <c r="AI29" s="177">
        <f>SUM(AG29:AH29)</f>
        <v>300</v>
      </c>
      <c r="AJ29" s="57">
        <v>0</v>
      </c>
      <c r="AK29" s="1">
        <v>0</v>
      </c>
      <c r="AL29" s="1">
        <v>0</v>
      </c>
      <c r="AM29" s="177">
        <v>0</v>
      </c>
      <c r="AN29" s="116">
        <v>0</v>
      </c>
      <c r="AO29" s="443">
        <v>0</v>
      </c>
      <c r="AP29" s="443" t="str">
        <f t="shared" si="0"/>
        <v>NA</v>
      </c>
      <c r="AQ29" s="593" t="str">
        <f t="shared" si="1"/>
        <v>NA</v>
      </c>
      <c r="AR29" s="443" t="str">
        <f t="shared" si="2"/>
        <v>NA</v>
      </c>
      <c r="AS29" s="1"/>
    </row>
    <row r="30" spans="1:45" ht="140.25">
      <c r="A30" s="147" t="str">
        <f>"SCE "&amp;24</f>
        <v>SCE 24</v>
      </c>
      <c r="B30" s="41" t="s">
        <v>960</v>
      </c>
      <c r="C30" s="41" t="s">
        <v>757</v>
      </c>
      <c r="D30" s="41" t="s">
        <v>1242</v>
      </c>
      <c r="E30" s="41"/>
      <c r="F30" s="27" t="s">
        <v>969</v>
      </c>
      <c r="G30" s="28"/>
      <c r="H30" s="29"/>
      <c r="I30" s="27"/>
      <c r="J30" s="28"/>
      <c r="K30" s="1" t="s">
        <v>633</v>
      </c>
      <c r="L30" s="1" t="s">
        <v>634</v>
      </c>
      <c r="M30" s="1" t="s">
        <v>635</v>
      </c>
      <c r="N30" s="1" t="s">
        <v>636</v>
      </c>
      <c r="O30" s="1" t="s">
        <v>634</v>
      </c>
      <c r="P30" s="1" t="s">
        <v>635</v>
      </c>
      <c r="Q30" s="1"/>
      <c r="R30" s="1"/>
      <c r="S30" s="1"/>
      <c r="T30" s="1"/>
      <c r="U30" s="1"/>
      <c r="V30" s="1"/>
      <c r="W30" s="1"/>
      <c r="X30" s="1"/>
      <c r="Y30" s="1" t="s">
        <v>1170</v>
      </c>
      <c r="Z30" s="1"/>
      <c r="AA30" s="1"/>
      <c r="AB30" s="1"/>
      <c r="AC30" s="1"/>
      <c r="AD30" s="177" t="s">
        <v>982</v>
      </c>
      <c r="AE30" s="177" t="s">
        <v>982</v>
      </c>
      <c r="AF30" s="177">
        <v>395</v>
      </c>
      <c r="AG30" s="177" t="s">
        <v>982</v>
      </c>
      <c r="AH30" s="177" t="s">
        <v>982</v>
      </c>
      <c r="AI30" s="177">
        <v>362.645</v>
      </c>
      <c r="AJ30" s="57" t="s">
        <v>982</v>
      </c>
      <c r="AK30" s="1" t="s">
        <v>982</v>
      </c>
      <c r="AL30" s="1" t="s">
        <v>982</v>
      </c>
      <c r="AM30" s="177">
        <v>858</v>
      </c>
      <c r="AN30" s="116">
        <v>0.18</v>
      </c>
      <c r="AO30" s="443">
        <v>0</v>
      </c>
      <c r="AP30" s="443">
        <f t="shared" si="0"/>
        <v>0.4226631701631701</v>
      </c>
      <c r="AQ30" s="593">
        <f t="shared" si="1"/>
        <v>2014.6944444444443</v>
      </c>
      <c r="AR30" s="443" t="str">
        <f t="shared" si="2"/>
        <v>NA</v>
      </c>
      <c r="AS30" s="1" t="s">
        <v>961</v>
      </c>
    </row>
    <row r="31" spans="1:45" ht="127.5">
      <c r="A31" s="147" t="str">
        <f>"SCE "&amp;25</f>
        <v>SCE 25</v>
      </c>
      <c r="B31" s="41" t="s">
        <v>963</v>
      </c>
      <c r="C31" s="41" t="s">
        <v>962</v>
      </c>
      <c r="D31" s="41" t="s">
        <v>1256</v>
      </c>
      <c r="E31" s="41"/>
      <c r="F31" s="27" t="s">
        <v>969</v>
      </c>
      <c r="G31" s="28"/>
      <c r="H31" s="29"/>
      <c r="I31" s="27"/>
      <c r="J31" s="28"/>
      <c r="K31" s="1" t="s">
        <v>633</v>
      </c>
      <c r="L31" s="1" t="s">
        <v>634</v>
      </c>
      <c r="M31" s="1" t="s">
        <v>635</v>
      </c>
      <c r="N31" s="1" t="s">
        <v>636</v>
      </c>
      <c r="O31" s="1" t="s">
        <v>634</v>
      </c>
      <c r="P31" s="1" t="s">
        <v>635</v>
      </c>
      <c r="Q31" s="1"/>
      <c r="R31" s="1"/>
      <c r="S31" s="1"/>
      <c r="T31" s="1"/>
      <c r="U31" s="1"/>
      <c r="V31" s="1"/>
      <c r="W31" s="1"/>
      <c r="X31" s="1"/>
      <c r="Y31" s="1" t="s">
        <v>1170</v>
      </c>
      <c r="Z31" s="1"/>
      <c r="AA31" s="1"/>
      <c r="AB31" s="1"/>
      <c r="AC31" s="1"/>
      <c r="AD31" s="177" t="s">
        <v>982</v>
      </c>
      <c r="AE31" s="177" t="s">
        <v>982</v>
      </c>
      <c r="AF31" s="177">
        <f>70+200</f>
        <v>270</v>
      </c>
      <c r="AG31" s="177" t="s">
        <v>982</v>
      </c>
      <c r="AH31" s="177" t="s">
        <v>982</v>
      </c>
      <c r="AI31" s="177">
        <f>AF31</f>
        <v>270</v>
      </c>
      <c r="AJ31" s="57" t="s">
        <v>982</v>
      </c>
      <c r="AK31" s="1" t="s">
        <v>982</v>
      </c>
      <c r="AL31" s="1" t="s">
        <v>982</v>
      </c>
      <c r="AM31" s="177">
        <v>0</v>
      </c>
      <c r="AN31" s="116">
        <v>0</v>
      </c>
      <c r="AO31" s="443">
        <v>0</v>
      </c>
      <c r="AP31" s="443" t="str">
        <f t="shared" si="0"/>
        <v>NA</v>
      </c>
      <c r="AQ31" s="593" t="str">
        <f t="shared" si="1"/>
        <v>NA</v>
      </c>
      <c r="AR31" s="443" t="str">
        <f t="shared" si="2"/>
        <v>NA</v>
      </c>
      <c r="AS31" s="1"/>
    </row>
    <row r="32" spans="2:45" ht="12.75">
      <c r="B32" s="188" t="s">
        <v>1147</v>
      </c>
      <c r="C32" s="188" t="s">
        <v>266</v>
      </c>
      <c r="D32" s="257"/>
      <c r="E32" s="257"/>
      <c r="F32" s="438"/>
      <c r="G32" s="438"/>
      <c r="H32" s="438"/>
      <c r="I32" s="438"/>
      <c r="J32" s="438"/>
      <c r="K32" s="439"/>
      <c r="L32" s="439"/>
      <c r="M32" s="439"/>
      <c r="N32" s="439"/>
      <c r="O32" s="439"/>
      <c r="P32" s="439"/>
      <c r="Q32" s="439"/>
      <c r="R32" s="439"/>
      <c r="S32" s="439"/>
      <c r="T32" s="439"/>
      <c r="U32" s="439"/>
      <c r="V32" s="439"/>
      <c r="W32" s="439"/>
      <c r="X32" s="439"/>
      <c r="Y32" s="439"/>
      <c r="Z32" s="439"/>
      <c r="AA32" s="439"/>
      <c r="AB32" s="439"/>
      <c r="AC32" s="439"/>
      <c r="AD32" s="513">
        <f>SUM(AD18:AD31)</f>
        <v>300</v>
      </c>
      <c r="AE32" s="513">
        <f aca="true" t="shared" si="4" ref="AE32:AO32">SUM(AE18:AE31)</f>
        <v>0</v>
      </c>
      <c r="AF32" s="513">
        <f t="shared" si="4"/>
        <v>31811.359</v>
      </c>
      <c r="AG32" s="513">
        <f t="shared" si="4"/>
        <v>3684</v>
      </c>
      <c r="AH32" s="513">
        <f t="shared" si="4"/>
        <v>22273.33</v>
      </c>
      <c r="AI32" s="513">
        <f t="shared" si="4"/>
        <v>34749.829</v>
      </c>
      <c r="AJ32" s="352">
        <f t="shared" si="4"/>
        <v>0</v>
      </c>
      <c r="AK32" s="352">
        <f t="shared" si="4"/>
        <v>0</v>
      </c>
      <c r="AL32" s="352">
        <f t="shared" si="4"/>
        <v>0</v>
      </c>
      <c r="AM32" s="513">
        <f t="shared" si="4"/>
        <v>274155</v>
      </c>
      <c r="AN32" s="512">
        <f t="shared" si="4"/>
        <v>53.22</v>
      </c>
      <c r="AO32" s="511">
        <f t="shared" si="4"/>
        <v>0</v>
      </c>
      <c r="AP32" s="511">
        <f t="shared" si="0"/>
        <v>0.12675249037952982</v>
      </c>
      <c r="AQ32" s="594">
        <f t="shared" si="1"/>
        <v>652.9468057121383</v>
      </c>
      <c r="AR32" s="511" t="str">
        <f t="shared" si="2"/>
        <v>NA</v>
      </c>
      <c r="AS32" s="404"/>
    </row>
    <row r="33" spans="1:45" ht="63.75">
      <c r="A33" s="147" t="str">
        <f>"SCE "&amp;26</f>
        <v>SCE 26</v>
      </c>
      <c r="B33" s="41" t="s">
        <v>363</v>
      </c>
      <c r="C33" s="41" t="s">
        <v>736</v>
      </c>
      <c r="D33" s="41" t="s">
        <v>1312</v>
      </c>
      <c r="E33" s="41"/>
      <c r="F33" s="27" t="s">
        <v>969</v>
      </c>
      <c r="G33" s="28" t="s">
        <v>969</v>
      </c>
      <c r="H33" s="29"/>
      <c r="I33" s="27"/>
      <c r="J33" s="28"/>
      <c r="K33" s="1" t="s">
        <v>364</v>
      </c>
      <c r="L33" s="17" t="s">
        <v>365</v>
      </c>
      <c r="M33" s="3" t="s">
        <v>366</v>
      </c>
      <c r="N33" s="1" t="s">
        <v>367</v>
      </c>
      <c r="O33" s="1"/>
      <c r="P33" s="1"/>
      <c r="Q33" s="1"/>
      <c r="R33" s="1"/>
      <c r="S33" s="1"/>
      <c r="T33" s="1"/>
      <c r="U33" s="1"/>
      <c r="V33" s="1"/>
      <c r="W33" s="1"/>
      <c r="X33" s="1"/>
      <c r="Y33" s="1"/>
      <c r="Z33" s="1"/>
      <c r="AA33" s="1"/>
      <c r="AB33" s="1"/>
      <c r="AC33" s="1"/>
      <c r="AD33" s="177" t="s">
        <v>982</v>
      </c>
      <c r="AE33" s="177" t="s">
        <v>982</v>
      </c>
      <c r="AF33" s="177">
        <v>5257</v>
      </c>
      <c r="AG33" s="54" t="s">
        <v>982</v>
      </c>
      <c r="AH33" s="54" t="s">
        <v>982</v>
      </c>
      <c r="AI33" s="177">
        <v>5237</v>
      </c>
      <c r="AJ33" s="57" t="s">
        <v>982</v>
      </c>
      <c r="AK33" s="1" t="s">
        <v>982</v>
      </c>
      <c r="AL33" s="1" t="s">
        <v>982</v>
      </c>
      <c r="AM33" s="177">
        <v>6997</v>
      </c>
      <c r="AN33" s="116">
        <v>9.81</v>
      </c>
      <c r="AO33" s="443">
        <v>0</v>
      </c>
      <c r="AP33" s="443">
        <f t="shared" si="0"/>
        <v>0.7484636272688295</v>
      </c>
      <c r="AQ33" s="593">
        <f t="shared" si="1"/>
        <v>533.8430173292559</v>
      </c>
      <c r="AR33" s="443" t="str">
        <f t="shared" si="2"/>
        <v>NA</v>
      </c>
      <c r="AS33" s="1" t="s">
        <v>737</v>
      </c>
    </row>
    <row r="34" spans="1:45" ht="127.5">
      <c r="A34" s="147" t="str">
        <f>"SCE "&amp;27</f>
        <v>SCE 27</v>
      </c>
      <c r="B34" s="41" t="s">
        <v>614</v>
      </c>
      <c r="C34" s="41" t="s">
        <v>748</v>
      </c>
      <c r="D34" s="41" t="s">
        <v>955</v>
      </c>
      <c r="E34" s="41"/>
      <c r="F34" s="27" t="s">
        <v>969</v>
      </c>
      <c r="G34" s="28"/>
      <c r="H34" s="29"/>
      <c r="I34" s="27"/>
      <c r="J34" s="28"/>
      <c r="K34" s="1" t="s">
        <v>847</v>
      </c>
      <c r="L34" s="1" t="s">
        <v>848</v>
      </c>
      <c r="M34" s="1" t="s">
        <v>849</v>
      </c>
      <c r="N34" s="1" t="s">
        <v>850</v>
      </c>
      <c r="O34" s="1" t="s">
        <v>848</v>
      </c>
      <c r="P34" s="1" t="s">
        <v>849</v>
      </c>
      <c r="Q34" s="1"/>
      <c r="R34" s="1"/>
      <c r="S34" s="1"/>
      <c r="T34" s="1"/>
      <c r="U34" s="1"/>
      <c r="V34" s="1"/>
      <c r="W34" s="1"/>
      <c r="X34" s="1"/>
      <c r="Y34" s="1" t="s">
        <v>1170</v>
      </c>
      <c r="Z34" s="1"/>
      <c r="AA34" s="1"/>
      <c r="AB34" s="1"/>
      <c r="AC34" s="1"/>
      <c r="AD34" s="177" t="s">
        <v>982</v>
      </c>
      <c r="AE34" s="177" t="s">
        <v>982</v>
      </c>
      <c r="AF34" s="177">
        <v>7874</v>
      </c>
      <c r="AG34" s="54" t="s">
        <v>982</v>
      </c>
      <c r="AH34" s="54" t="s">
        <v>982</v>
      </c>
      <c r="AI34" s="177">
        <f>7030.513+541.989</f>
        <v>7572.502</v>
      </c>
      <c r="AJ34" s="57" t="s">
        <v>982</v>
      </c>
      <c r="AK34" s="1" t="s">
        <v>982</v>
      </c>
      <c r="AL34" s="1" t="s">
        <v>982</v>
      </c>
      <c r="AM34" s="514">
        <v>61031</v>
      </c>
      <c r="AN34" s="116">
        <v>9.43</v>
      </c>
      <c r="AO34" s="443">
        <v>0</v>
      </c>
      <c r="AP34" s="443">
        <f t="shared" si="0"/>
        <v>0.12407632186921401</v>
      </c>
      <c r="AQ34" s="593">
        <f t="shared" si="1"/>
        <v>803.0224814422058</v>
      </c>
      <c r="AR34" s="443" t="str">
        <f t="shared" si="2"/>
        <v>NA</v>
      </c>
      <c r="AS34" s="1"/>
    </row>
    <row r="35" spans="1:45" ht="114.75">
      <c r="A35" s="147" t="str">
        <f>"SCE "&amp;28</f>
        <v>SCE 28</v>
      </c>
      <c r="B35" s="41" t="s">
        <v>562</v>
      </c>
      <c r="C35" s="41" t="s">
        <v>747</v>
      </c>
      <c r="D35" s="41" t="s">
        <v>953</v>
      </c>
      <c r="E35" s="41" t="s">
        <v>954</v>
      </c>
      <c r="F35" s="27" t="s">
        <v>969</v>
      </c>
      <c r="G35" s="28"/>
      <c r="H35" s="29"/>
      <c r="I35" s="27"/>
      <c r="J35" s="28"/>
      <c r="K35" s="1" t="s">
        <v>1159</v>
      </c>
      <c r="L35" s="1" t="s">
        <v>1160</v>
      </c>
      <c r="M35" s="1" t="s">
        <v>1161</v>
      </c>
      <c r="N35" s="1" t="s">
        <v>1162</v>
      </c>
      <c r="O35" s="1" t="s">
        <v>1160</v>
      </c>
      <c r="P35" s="1" t="s">
        <v>1161</v>
      </c>
      <c r="Q35" s="1"/>
      <c r="R35" s="1"/>
      <c r="S35" s="1"/>
      <c r="T35" s="1"/>
      <c r="U35" s="1"/>
      <c r="V35" s="1"/>
      <c r="W35" s="1"/>
      <c r="X35" s="1"/>
      <c r="Y35" s="1" t="s">
        <v>1170</v>
      </c>
      <c r="Z35" s="1"/>
      <c r="AA35" s="1"/>
      <c r="AB35" s="1"/>
      <c r="AC35" s="1"/>
      <c r="AD35" s="177" t="s">
        <v>982</v>
      </c>
      <c r="AE35" s="177" t="s">
        <v>982</v>
      </c>
      <c r="AF35" s="177">
        <v>101</v>
      </c>
      <c r="AG35" s="177">
        <v>101</v>
      </c>
      <c r="AH35" s="177">
        <v>0</v>
      </c>
      <c r="AI35" s="177">
        <f>SUM(AG35:AH35)</f>
        <v>101</v>
      </c>
      <c r="AJ35" s="57" t="s">
        <v>982</v>
      </c>
      <c r="AK35" s="1" t="s">
        <v>982</v>
      </c>
      <c r="AL35" s="1" t="s">
        <v>982</v>
      </c>
      <c r="AM35" s="177">
        <v>0</v>
      </c>
      <c r="AN35" s="116">
        <v>0</v>
      </c>
      <c r="AO35" s="443">
        <v>0</v>
      </c>
      <c r="AP35" s="443" t="str">
        <f t="shared" si="0"/>
        <v>NA</v>
      </c>
      <c r="AQ35" s="593" t="str">
        <f t="shared" si="1"/>
        <v>NA</v>
      </c>
      <c r="AR35" s="443" t="str">
        <f t="shared" si="2"/>
        <v>NA</v>
      </c>
      <c r="AS35" s="1"/>
    </row>
    <row r="36" spans="1:45" ht="76.5">
      <c r="A36" s="147" t="str">
        <f>"SCE "&amp;29</f>
        <v>SCE 29</v>
      </c>
      <c r="B36" s="41" t="s">
        <v>604</v>
      </c>
      <c r="C36" s="41" t="s">
        <v>747</v>
      </c>
      <c r="D36" s="41" t="s">
        <v>599</v>
      </c>
      <c r="E36" s="41"/>
      <c r="F36" s="27" t="s">
        <v>969</v>
      </c>
      <c r="G36" s="28"/>
      <c r="H36" s="29"/>
      <c r="I36" s="27"/>
      <c r="J36" s="28"/>
      <c r="K36" s="1"/>
      <c r="L36" s="1"/>
      <c r="M36" s="1"/>
      <c r="N36" s="1"/>
      <c r="O36" s="1"/>
      <c r="P36" s="1"/>
      <c r="Q36" s="1"/>
      <c r="R36" s="1"/>
      <c r="S36" s="1"/>
      <c r="T36" s="1"/>
      <c r="U36" s="1"/>
      <c r="V36" s="1"/>
      <c r="W36" s="1"/>
      <c r="X36" s="1"/>
      <c r="Y36" s="1"/>
      <c r="Z36" s="1"/>
      <c r="AA36" s="1"/>
      <c r="AB36" s="1"/>
      <c r="AC36" s="1"/>
      <c r="AD36" s="54" t="s">
        <v>982</v>
      </c>
      <c r="AE36" s="54" t="s">
        <v>982</v>
      </c>
      <c r="AF36" s="54">
        <f>473.584+300</f>
        <v>773.5840000000001</v>
      </c>
      <c r="AG36" s="54" t="s">
        <v>982</v>
      </c>
      <c r="AH36" s="54" t="s">
        <v>982</v>
      </c>
      <c r="AI36" s="177">
        <f>AF36</f>
        <v>773.5840000000001</v>
      </c>
      <c r="AJ36" s="57" t="s">
        <v>982</v>
      </c>
      <c r="AK36" s="1" t="s">
        <v>982</v>
      </c>
      <c r="AL36" s="1" t="s">
        <v>1324</v>
      </c>
      <c r="AM36" s="177">
        <v>0</v>
      </c>
      <c r="AN36" s="116">
        <v>0</v>
      </c>
      <c r="AO36" s="587" t="s">
        <v>1324</v>
      </c>
      <c r="AP36" s="443" t="str">
        <f t="shared" si="0"/>
        <v>NA</v>
      </c>
      <c r="AQ36" s="593" t="str">
        <f t="shared" si="1"/>
        <v>NA</v>
      </c>
      <c r="AR36" s="443"/>
      <c r="AS36" s="1"/>
    </row>
    <row r="37" spans="1:45" ht="140.25">
      <c r="A37" s="147" t="str">
        <f>"SCE "&amp;30</f>
        <v>SCE 30</v>
      </c>
      <c r="B37" s="41" t="s">
        <v>1243</v>
      </c>
      <c r="C37" s="41" t="s">
        <v>746</v>
      </c>
      <c r="D37" s="41" t="s">
        <v>270</v>
      </c>
      <c r="E37" s="187"/>
      <c r="F37" s="27" t="s">
        <v>969</v>
      </c>
      <c r="G37" s="28"/>
      <c r="H37" s="29"/>
      <c r="I37" s="27"/>
      <c r="J37" s="28"/>
      <c r="K37" s="1" t="s">
        <v>1163</v>
      </c>
      <c r="L37" s="1" t="s">
        <v>1164</v>
      </c>
      <c r="M37" s="1" t="s">
        <v>1165</v>
      </c>
      <c r="N37" s="1" t="s">
        <v>1166</v>
      </c>
      <c r="O37" s="1" t="s">
        <v>1164</v>
      </c>
      <c r="P37" s="1" t="s">
        <v>1165</v>
      </c>
      <c r="Q37" s="1"/>
      <c r="R37" s="1"/>
      <c r="S37" s="1"/>
      <c r="T37" s="1"/>
      <c r="U37" s="1"/>
      <c r="V37" s="1"/>
      <c r="W37" s="1"/>
      <c r="X37" s="1"/>
      <c r="Y37" s="1" t="s">
        <v>1170</v>
      </c>
      <c r="Z37" s="1"/>
      <c r="AA37" s="1"/>
      <c r="AB37" s="1"/>
      <c r="AC37" s="1"/>
      <c r="AD37" s="177" t="s">
        <v>982</v>
      </c>
      <c r="AE37" s="177" t="s">
        <v>982</v>
      </c>
      <c r="AF37" s="177">
        <f>1432-AF38-300</f>
        <v>747</v>
      </c>
      <c r="AG37" s="177" t="s">
        <v>982</v>
      </c>
      <c r="AH37" s="177" t="s">
        <v>982</v>
      </c>
      <c r="AI37" s="177">
        <f>1423.059-AI38-300</f>
        <v>738.5920000000001</v>
      </c>
      <c r="AJ37" s="57" t="s">
        <v>982</v>
      </c>
      <c r="AK37" s="1" t="s">
        <v>982</v>
      </c>
      <c r="AL37" s="1" t="s">
        <v>982</v>
      </c>
      <c r="AM37" s="54" t="s">
        <v>982</v>
      </c>
      <c r="AN37" s="54" t="s">
        <v>982</v>
      </c>
      <c r="AO37" s="54" t="s">
        <v>982</v>
      </c>
      <c r="AP37" s="443" t="str">
        <f t="shared" si="0"/>
        <v>NA</v>
      </c>
      <c r="AQ37" s="593" t="str">
        <f t="shared" si="1"/>
        <v>NA</v>
      </c>
      <c r="AR37" s="443" t="str">
        <f t="shared" si="2"/>
        <v>NA</v>
      </c>
      <c r="AS37" s="187"/>
    </row>
    <row r="38" spans="1:45" ht="153">
      <c r="A38" s="147" t="str">
        <f>"SCE "&amp;31</f>
        <v>SCE 31</v>
      </c>
      <c r="B38" s="41" t="s">
        <v>1244</v>
      </c>
      <c r="C38" s="41" t="s">
        <v>1245</v>
      </c>
      <c r="D38" s="41" t="s">
        <v>145</v>
      </c>
      <c r="E38" s="41" t="s">
        <v>144</v>
      </c>
      <c r="F38" s="27" t="s">
        <v>969</v>
      </c>
      <c r="G38" s="28"/>
      <c r="H38" s="29"/>
      <c r="I38" s="27"/>
      <c r="J38" s="28"/>
      <c r="K38" s="1" t="s">
        <v>843</v>
      </c>
      <c r="L38" s="1" t="s">
        <v>844</v>
      </c>
      <c r="M38" s="1" t="s">
        <v>845</v>
      </c>
      <c r="N38" s="1" t="s">
        <v>846</v>
      </c>
      <c r="O38" s="1" t="s">
        <v>844</v>
      </c>
      <c r="P38" s="1" t="s">
        <v>845</v>
      </c>
      <c r="Q38" s="1"/>
      <c r="R38" s="1"/>
      <c r="S38" s="1"/>
      <c r="T38" s="1"/>
      <c r="U38" s="1"/>
      <c r="V38" s="1"/>
      <c r="W38" s="1"/>
      <c r="X38" s="1"/>
      <c r="Y38" s="1" t="s">
        <v>1170</v>
      </c>
      <c r="Z38" s="1"/>
      <c r="AA38" s="1"/>
      <c r="AB38" s="1"/>
      <c r="AC38" s="1"/>
      <c r="AD38" s="177" t="s">
        <v>982</v>
      </c>
      <c r="AE38" s="177" t="s">
        <v>982</v>
      </c>
      <c r="AF38" s="177">
        <v>385</v>
      </c>
      <c r="AG38" s="177" t="s">
        <v>982</v>
      </c>
      <c r="AH38" s="177" t="s">
        <v>982</v>
      </c>
      <c r="AI38" s="177">
        <v>384.467</v>
      </c>
      <c r="AJ38" s="57" t="s">
        <v>982</v>
      </c>
      <c r="AK38" s="1" t="s">
        <v>982</v>
      </c>
      <c r="AL38" s="1" t="s">
        <v>982</v>
      </c>
      <c r="AM38" s="402">
        <f>677+58</f>
        <v>735</v>
      </c>
      <c r="AN38" s="193">
        <v>0.82</v>
      </c>
      <c r="AO38" s="587" t="s">
        <v>982</v>
      </c>
      <c r="AP38" s="443">
        <f t="shared" si="0"/>
        <v>0.5230843537414965</v>
      </c>
      <c r="AQ38" s="593">
        <f t="shared" si="1"/>
        <v>468.86219512195123</v>
      </c>
      <c r="AR38" s="443" t="str">
        <f t="shared" si="2"/>
        <v>NA</v>
      </c>
      <c r="AS38" s="1"/>
    </row>
    <row r="39" spans="2:45" ht="12.75">
      <c r="B39" s="188" t="s">
        <v>1147</v>
      </c>
      <c r="C39" s="188" t="s">
        <v>671</v>
      </c>
      <c r="D39" s="257"/>
      <c r="E39" s="257"/>
      <c r="F39" s="438"/>
      <c r="G39" s="438"/>
      <c r="H39" s="438"/>
      <c r="I39" s="438"/>
      <c r="J39" s="438"/>
      <c r="K39" s="439"/>
      <c r="L39" s="439"/>
      <c r="M39" s="439"/>
      <c r="N39" s="439"/>
      <c r="O39" s="439"/>
      <c r="P39" s="439"/>
      <c r="Q39" s="439"/>
      <c r="R39" s="439"/>
      <c r="S39" s="439"/>
      <c r="T39" s="439"/>
      <c r="U39" s="439"/>
      <c r="V39" s="439"/>
      <c r="W39" s="439"/>
      <c r="X39" s="439"/>
      <c r="Y39" s="439"/>
      <c r="Z39" s="439"/>
      <c r="AA39" s="439"/>
      <c r="AB39" s="439"/>
      <c r="AC39" s="439"/>
      <c r="AD39" s="513">
        <f>SUM(AD33:AD38)</f>
        <v>0</v>
      </c>
      <c r="AE39" s="513">
        <f aca="true" t="shared" si="5" ref="AE39:AO39">SUM(AE33:AE38)</f>
        <v>0</v>
      </c>
      <c r="AF39" s="513">
        <f t="shared" si="5"/>
        <v>15137.584</v>
      </c>
      <c r="AG39" s="513">
        <f t="shared" si="5"/>
        <v>101</v>
      </c>
      <c r="AH39" s="513">
        <f t="shared" si="5"/>
        <v>0</v>
      </c>
      <c r="AI39" s="513">
        <f t="shared" si="5"/>
        <v>14807.145000000002</v>
      </c>
      <c r="AJ39" s="352">
        <f t="shared" si="5"/>
        <v>0</v>
      </c>
      <c r="AK39" s="352">
        <f t="shared" si="5"/>
        <v>0</v>
      </c>
      <c r="AL39" s="352">
        <f t="shared" si="5"/>
        <v>0</v>
      </c>
      <c r="AM39" s="513">
        <f t="shared" si="5"/>
        <v>68763</v>
      </c>
      <c r="AN39" s="512">
        <f t="shared" si="5"/>
        <v>20.060000000000002</v>
      </c>
      <c r="AO39" s="511">
        <f t="shared" si="5"/>
        <v>0</v>
      </c>
      <c r="AP39" s="511">
        <f t="shared" si="0"/>
        <v>0.2153359364774661</v>
      </c>
      <c r="AQ39" s="594">
        <f t="shared" si="1"/>
        <v>738.1428215353939</v>
      </c>
      <c r="AR39" s="511" t="str">
        <f t="shared" si="2"/>
        <v>NA</v>
      </c>
      <c r="AS39" s="404"/>
    </row>
    <row r="40" spans="6:44" ht="12.75">
      <c r="F40" s="7"/>
      <c r="G40" s="14"/>
      <c r="H40" s="15"/>
      <c r="I40" s="7"/>
      <c r="J40" s="14"/>
      <c r="AO40" s="133"/>
      <c r="AP40" s="133"/>
      <c r="AQ40" s="595"/>
      <c r="AR40" s="133"/>
    </row>
    <row r="41" spans="2:45" ht="12.75">
      <c r="B41" s="188" t="s">
        <v>651</v>
      </c>
      <c r="C41" s="188" t="s">
        <v>267</v>
      </c>
      <c r="D41" s="257"/>
      <c r="E41" s="257"/>
      <c r="F41" s="438"/>
      <c r="G41" s="438"/>
      <c r="H41" s="438"/>
      <c r="I41" s="438"/>
      <c r="J41" s="438"/>
      <c r="K41" s="439"/>
      <c r="L41" s="439"/>
      <c r="M41" s="439"/>
      <c r="N41" s="439"/>
      <c r="O41" s="439"/>
      <c r="P41" s="439"/>
      <c r="Q41" s="439"/>
      <c r="R41" s="439"/>
      <c r="S41" s="439"/>
      <c r="T41" s="439"/>
      <c r="U41" s="439"/>
      <c r="V41" s="439"/>
      <c r="W41" s="439"/>
      <c r="X41" s="439"/>
      <c r="Y41" s="439"/>
      <c r="Z41" s="439"/>
      <c r="AA41" s="439"/>
      <c r="AB41" s="439"/>
      <c r="AC41" s="439"/>
      <c r="AD41" s="513">
        <f aca="true" t="shared" si="6" ref="AD41:AO41">AD39+AD32+AD17</f>
        <v>5747.25</v>
      </c>
      <c r="AE41" s="513">
        <f t="shared" si="6"/>
        <v>0</v>
      </c>
      <c r="AF41" s="513">
        <f t="shared" si="6"/>
        <v>69825.693</v>
      </c>
      <c r="AG41" s="513">
        <f t="shared" si="6"/>
        <v>12076.535</v>
      </c>
      <c r="AH41" s="513">
        <f t="shared" si="6"/>
        <v>35009.33</v>
      </c>
      <c r="AI41" s="513">
        <f t="shared" si="6"/>
        <v>77304.009</v>
      </c>
      <c r="AJ41" s="352">
        <f t="shared" si="6"/>
        <v>0</v>
      </c>
      <c r="AK41" s="352">
        <f t="shared" si="6"/>
        <v>0</v>
      </c>
      <c r="AL41" s="352">
        <f t="shared" si="6"/>
        <v>0</v>
      </c>
      <c r="AM41" s="513">
        <f t="shared" si="6"/>
        <v>462575</v>
      </c>
      <c r="AN41" s="512">
        <f t="shared" si="6"/>
        <v>124.5</v>
      </c>
      <c r="AO41" s="511">
        <f t="shared" si="6"/>
        <v>0</v>
      </c>
      <c r="AP41" s="511">
        <f t="shared" si="0"/>
        <v>0.16711670323731287</v>
      </c>
      <c r="AQ41" s="594">
        <f t="shared" si="1"/>
        <v>620.9157349397591</v>
      </c>
      <c r="AR41" s="511" t="str">
        <f t="shared" si="2"/>
        <v>NA</v>
      </c>
      <c r="AS41" s="404"/>
    </row>
    <row r="42" ht="12.75"/>
    <row r="43" spans="2:4" ht="12.75">
      <c r="B43"/>
      <c r="C43"/>
      <c r="D43"/>
    </row>
    <row r="44" spans="2:4" ht="12.75">
      <c r="B44"/>
      <c r="C44"/>
      <c r="D44"/>
    </row>
    <row r="45" spans="2:4" ht="12.75">
      <c r="B45"/>
      <c r="C45"/>
      <c r="D45"/>
    </row>
    <row r="46" spans="2:4" ht="12.75">
      <c r="B46"/>
      <c r="C46"/>
      <c r="D46"/>
    </row>
    <row r="47" spans="2:4" ht="12.75">
      <c r="B47"/>
      <c r="C47"/>
      <c r="D47"/>
    </row>
    <row r="48" spans="2:4" ht="12.75">
      <c r="B48"/>
      <c r="C48"/>
      <c r="D48"/>
    </row>
    <row r="49" spans="2:4" ht="12.75">
      <c r="B49"/>
      <c r="C49"/>
      <c r="D49"/>
    </row>
    <row r="50" ht="12.75"/>
    <row r="51" ht="12.75"/>
    <row r="52" ht="12.75"/>
    <row r="53" ht="12.75"/>
    <row r="54" ht="12.75"/>
    <row r="55" ht="12.75"/>
    <row r="56" ht="12.75"/>
    <row r="57" ht="12.75"/>
    <row r="58" ht="12.75"/>
    <row r="59" ht="12.75"/>
    <row r="60" ht="12.75"/>
    <row r="61" ht="12.75"/>
    <row r="62" ht="12.75"/>
  </sheetData>
  <sheetProtection password="DE47" sheet="1" objects="1" scenarios="1"/>
  <mergeCells count="5">
    <mergeCell ref="AS4:AS5"/>
    <mergeCell ref="AF8:AF9"/>
    <mergeCell ref="AI8:AI9"/>
    <mergeCell ref="AP8:AP9"/>
    <mergeCell ref="AQ8:AQ9"/>
  </mergeCells>
  <hyperlinks>
    <hyperlink ref="M14" r:id="rId1" display="Lee.Trotman@sce.com"/>
    <hyperlink ref="M11" r:id="rId2" display="fran.curl@sce.com"/>
    <hyperlink ref="M33" r:id="rId3" display="michelle.thomas@sce.com"/>
    <hyperlink ref="M9" r:id="rId4" display="fran.curl@sce.com"/>
    <hyperlink ref="M8" r:id="rId5" display="fran.curl@sce.com"/>
    <hyperlink ref="M15" r:id="rId6" display="Cheryl.wynn@sce.com"/>
    <hyperlink ref="M7" r:id="rId7" display="Cheryl.wynn@sce.com"/>
    <hyperlink ref="M12" r:id="rId8" display="michelle.thomas@sce.com"/>
    <hyperlink ref="M13" r:id="rId9" display="Cheryl.wynn@sce.com"/>
    <hyperlink ref="V26" r:id="rId10" display="mrufo@xenergy.com"/>
    <hyperlink ref="M6" r:id="rId11" display="Cheryl.wynn@sce.com"/>
    <hyperlink ref="M10" r:id="rId12" display="Cheryl.wynn@sce.com"/>
  </hyperlinks>
  <printOptions/>
  <pageMargins left="0.5" right="0.5" top="0.54" bottom="1" header="0.5" footer="0.5"/>
  <pageSetup fitToHeight="50" fitToWidth="2" horizontalDpi="300" verticalDpi="300" orientation="landscape" pageOrder="overThenDown" scale="58" r:id="rId16"/>
  <headerFooter alignWithMargins="0">
    <oddHeader>&amp;CCALMAC Summary Study</oddHeader>
    <oddFooter>&amp;LGlobal Energy Partners, LLC&amp;C&amp;D&amp;RPage &amp;P of &amp;N</oddFooter>
  </headerFooter>
  <colBreaks count="1" manualBreakCount="1">
    <brk id="38" min="5" max="36" man="1"/>
  </colBreaks>
  <drawing r:id="rId15"/>
  <legacyDrawing r:id="rId14"/>
</worksheet>
</file>

<file path=xl/worksheets/sheet6.xml><?xml version="1.0" encoding="utf-8"?>
<worksheet xmlns="http://schemas.openxmlformats.org/spreadsheetml/2006/main" xmlns:r="http://schemas.openxmlformats.org/officeDocument/2006/relationships">
  <sheetPr codeName="Sheet6">
    <pageSetUpPr fitToPage="1"/>
  </sheetPr>
  <dimension ref="A1:AV56"/>
  <sheetViews>
    <sheetView showGridLines="0" zoomScale="75" zoomScaleNormal="75" zoomScaleSheetLayoutView="100" workbookViewId="0" topLeftCell="A1">
      <pane xSplit="4" ySplit="5" topLeftCell="E51" activePane="bottomRight" state="frozen"/>
      <selection pane="topLeft" activeCell="D35" sqref="D35"/>
      <selection pane="topRight" activeCell="D35" sqref="D35"/>
      <selection pane="bottomLeft" activeCell="D35" sqref="D35"/>
      <selection pane="bottomRight" activeCell="D3" sqref="D3"/>
    </sheetView>
  </sheetViews>
  <sheetFormatPr defaultColWidth="9.140625" defaultRowHeight="12.75" outlineLevelCol="1"/>
  <cols>
    <col min="1" max="1" width="10.57421875" style="31" customWidth="1"/>
    <col min="2" max="2" width="20.140625" style="31" customWidth="1"/>
    <col min="3" max="3" width="11.57421875" style="31" customWidth="1"/>
    <col min="4" max="4" width="28.421875" style="31" customWidth="1"/>
    <col min="5" max="5" width="24.00390625" style="31" customWidth="1"/>
    <col min="6" max="10" width="4.7109375" style="31" customWidth="1"/>
    <col min="11" max="22" width="7.7109375" style="31" hidden="1" customWidth="1" outlineLevel="1"/>
    <col min="23" max="23" width="7.28125" style="31" hidden="1" customWidth="1" outlineLevel="1"/>
    <col min="24" max="24" width="11.28125" style="31" hidden="1" customWidth="1" outlineLevel="1"/>
    <col min="25" max="25" width="9.140625" style="31" hidden="1" customWidth="1" outlineLevel="1"/>
    <col min="26" max="26" width="6.8515625" style="31" hidden="1" customWidth="1" outlineLevel="1"/>
    <col min="27" max="27" width="6.28125" style="31" hidden="1" customWidth="1" outlineLevel="1"/>
    <col min="28" max="29" width="6.8515625" style="31" hidden="1" customWidth="1" outlineLevel="1"/>
    <col min="30" max="30" width="10.7109375" style="31" customWidth="1" collapsed="1"/>
    <col min="31" max="35" width="10.7109375" style="31" customWidth="1"/>
    <col min="36" max="38" width="7.7109375" style="31" customWidth="1"/>
    <col min="39" max="39" width="9.8515625" style="183" customWidth="1"/>
    <col min="40" max="40" width="7.7109375" style="31" customWidth="1"/>
    <col min="41" max="41" width="9.28125" style="31" customWidth="1"/>
    <col min="42" max="42" width="9.28125" style="445" bestFit="1" customWidth="1"/>
    <col min="43" max="43" width="11.00390625" style="183" customWidth="1"/>
    <col min="44" max="44" width="11.140625" style="226" customWidth="1"/>
    <col min="45" max="45" width="31.421875" style="31" customWidth="1"/>
    <col min="46" max="16384" width="9.140625" style="31" customWidth="1"/>
  </cols>
  <sheetData>
    <row r="1" spans="2:30" ht="15.75">
      <c r="B1" s="80" t="s">
        <v>268</v>
      </c>
      <c r="AD1" s="81"/>
    </row>
    <row r="2" ht="16.5" thickBot="1">
      <c r="B2" s="122" t="s">
        <v>142</v>
      </c>
    </row>
    <row r="3" spans="6:29" ht="13.5" thickBot="1">
      <c r="F3" s="83"/>
      <c r="G3" s="83"/>
      <c r="H3" s="83"/>
      <c r="I3" s="83"/>
      <c r="J3" s="83"/>
      <c r="K3" s="84" t="s">
        <v>36</v>
      </c>
      <c r="L3" s="85"/>
      <c r="M3" s="85"/>
      <c r="N3" s="85"/>
      <c r="O3" s="85"/>
      <c r="P3" s="85"/>
      <c r="Q3" s="85"/>
      <c r="R3" s="85"/>
      <c r="S3" s="85"/>
      <c r="T3" s="85"/>
      <c r="U3" s="85"/>
      <c r="V3" s="85"/>
      <c r="W3" s="85"/>
      <c r="X3" s="85"/>
      <c r="Y3" s="86"/>
      <c r="Z3" s="87"/>
      <c r="AA3" s="88"/>
      <c r="AB3" s="88"/>
      <c r="AC3" s="89"/>
    </row>
    <row r="4" spans="6:45" ht="40.5" customHeight="1" thickBot="1">
      <c r="F4" s="61" t="s">
        <v>33</v>
      </c>
      <c r="G4" s="62"/>
      <c r="H4" s="62"/>
      <c r="I4" s="62"/>
      <c r="J4" s="63"/>
      <c r="K4" s="61" t="s">
        <v>679</v>
      </c>
      <c r="L4" s="85"/>
      <c r="M4" s="86"/>
      <c r="N4" s="85" t="s">
        <v>677</v>
      </c>
      <c r="O4" s="85"/>
      <c r="P4" s="86"/>
      <c r="Q4" s="90" t="s">
        <v>680</v>
      </c>
      <c r="R4" s="90"/>
      <c r="S4" s="91"/>
      <c r="T4" s="85" t="s">
        <v>675</v>
      </c>
      <c r="U4" s="85"/>
      <c r="V4" s="86"/>
      <c r="W4" s="85" t="s">
        <v>1197</v>
      </c>
      <c r="X4" s="86"/>
      <c r="Y4" s="92"/>
      <c r="Z4" s="93" t="s">
        <v>34</v>
      </c>
      <c r="AA4" s="94"/>
      <c r="AB4" s="94"/>
      <c r="AC4" s="95"/>
      <c r="AD4" s="36" t="s">
        <v>956</v>
      </c>
      <c r="AE4" s="36"/>
      <c r="AF4" s="36"/>
      <c r="AG4" s="36" t="s">
        <v>1284</v>
      </c>
      <c r="AH4" s="36"/>
      <c r="AI4" s="36"/>
      <c r="AJ4" s="35" t="s">
        <v>1081</v>
      </c>
      <c r="AK4" s="35"/>
      <c r="AL4" s="35"/>
      <c r="AM4" s="441" t="s">
        <v>346</v>
      </c>
      <c r="AN4" s="35"/>
      <c r="AO4" s="35"/>
      <c r="AP4" s="446" t="s">
        <v>662</v>
      </c>
      <c r="AQ4" s="441"/>
      <c r="AR4" s="447"/>
      <c r="AS4" s="657" t="s">
        <v>732</v>
      </c>
    </row>
    <row r="5" spans="2:45" ht="124.5" thickBot="1">
      <c r="B5" s="96" t="s">
        <v>835</v>
      </c>
      <c r="C5" s="96" t="s">
        <v>834</v>
      </c>
      <c r="D5" s="96" t="s">
        <v>836</v>
      </c>
      <c r="E5" s="96" t="s">
        <v>731</v>
      </c>
      <c r="F5" s="11" t="s">
        <v>28</v>
      </c>
      <c r="G5" s="12" t="s">
        <v>29</v>
      </c>
      <c r="H5" s="12" t="s">
        <v>30</v>
      </c>
      <c r="I5" s="12" t="s">
        <v>31</v>
      </c>
      <c r="J5" s="13" t="s">
        <v>668</v>
      </c>
      <c r="K5" s="97" t="s">
        <v>37</v>
      </c>
      <c r="L5" s="98" t="s">
        <v>38</v>
      </c>
      <c r="M5" s="99" t="s">
        <v>39</v>
      </c>
      <c r="N5" s="97" t="s">
        <v>678</v>
      </c>
      <c r="O5" s="98" t="s">
        <v>38</v>
      </c>
      <c r="P5" s="99" t="s">
        <v>39</v>
      </c>
      <c r="Q5" s="97" t="s">
        <v>37</v>
      </c>
      <c r="R5" s="98" t="s">
        <v>38</v>
      </c>
      <c r="S5" s="99" t="s">
        <v>39</v>
      </c>
      <c r="T5" s="97" t="s">
        <v>678</v>
      </c>
      <c r="U5" s="98" t="s">
        <v>38</v>
      </c>
      <c r="V5" s="99" t="s">
        <v>39</v>
      </c>
      <c r="W5" s="100" t="s">
        <v>40</v>
      </c>
      <c r="X5" s="99" t="s">
        <v>41</v>
      </c>
      <c r="Y5" s="101" t="s">
        <v>35</v>
      </c>
      <c r="Z5" s="97" t="s">
        <v>1306</v>
      </c>
      <c r="AA5" s="98" t="s">
        <v>681</v>
      </c>
      <c r="AB5" s="98" t="s">
        <v>32</v>
      </c>
      <c r="AC5" s="102" t="s">
        <v>682</v>
      </c>
      <c r="AD5" s="109" t="s">
        <v>777</v>
      </c>
      <c r="AE5" s="111" t="s">
        <v>778</v>
      </c>
      <c r="AF5" s="110" t="s">
        <v>779</v>
      </c>
      <c r="AG5" s="109" t="s">
        <v>777</v>
      </c>
      <c r="AH5" s="111" t="s">
        <v>778</v>
      </c>
      <c r="AI5" s="110" t="s">
        <v>779</v>
      </c>
      <c r="AJ5" s="109" t="s">
        <v>1266</v>
      </c>
      <c r="AK5" s="111" t="s">
        <v>1356</v>
      </c>
      <c r="AL5" s="139" t="s">
        <v>1357</v>
      </c>
      <c r="AM5" s="442" t="s">
        <v>1266</v>
      </c>
      <c r="AN5" s="135" t="s">
        <v>1356</v>
      </c>
      <c r="AO5" s="140" t="s">
        <v>1357</v>
      </c>
      <c r="AP5" s="455" t="s">
        <v>1358</v>
      </c>
      <c r="AQ5" s="592" t="s">
        <v>650</v>
      </c>
      <c r="AR5" s="453" t="s">
        <v>517</v>
      </c>
      <c r="AS5" s="658"/>
    </row>
    <row r="6" spans="1:45" ht="114.75">
      <c r="A6" s="147" t="str">
        <f>"SDG&amp;E 0"&amp;1</f>
        <v>SDG&amp;E 01</v>
      </c>
      <c r="B6" s="380" t="s">
        <v>616</v>
      </c>
      <c r="C6" s="32" t="s">
        <v>615</v>
      </c>
      <c r="D6" s="38" t="s">
        <v>617</v>
      </c>
      <c r="E6" s="39" t="s">
        <v>769</v>
      </c>
      <c r="F6" s="24" t="s">
        <v>969</v>
      </c>
      <c r="G6" s="25"/>
      <c r="H6" s="26"/>
      <c r="I6" s="24"/>
      <c r="J6" s="25"/>
      <c r="K6" s="4"/>
      <c r="L6" s="4"/>
      <c r="M6" s="4"/>
      <c r="N6" s="4"/>
      <c r="O6" s="4"/>
      <c r="P6" s="4"/>
      <c r="Q6" s="4"/>
      <c r="R6" s="4"/>
      <c r="S6" s="4"/>
      <c r="T6" s="4"/>
      <c r="U6" s="4"/>
      <c r="V6" s="4"/>
      <c r="W6" s="4"/>
      <c r="X6" s="4"/>
      <c r="Y6" s="4"/>
      <c r="Z6" s="24"/>
      <c r="AA6" s="24"/>
      <c r="AB6" s="24"/>
      <c r="AC6" s="24" t="s">
        <v>969</v>
      </c>
      <c r="AD6" s="42" t="s">
        <v>982</v>
      </c>
      <c r="AE6" s="42" t="s">
        <v>982</v>
      </c>
      <c r="AF6" s="42">
        <v>30</v>
      </c>
      <c r="AG6" s="42">
        <v>36.256</v>
      </c>
      <c r="AH6" s="42">
        <v>0</v>
      </c>
      <c r="AI6" s="42">
        <f aca="true" t="shared" si="0" ref="AI6:AI53">SUM(AG6:AH6)</f>
        <v>36.256</v>
      </c>
      <c r="AJ6" s="4" t="s">
        <v>982</v>
      </c>
      <c r="AK6" s="4" t="s">
        <v>982</v>
      </c>
      <c r="AL6" s="4" t="s">
        <v>982</v>
      </c>
      <c r="AM6" s="443">
        <v>0</v>
      </c>
      <c r="AN6" s="443">
        <v>0</v>
      </c>
      <c r="AO6" s="443">
        <v>0</v>
      </c>
      <c r="AP6" s="456" t="str">
        <f>IF(AM6=0,"NA",$AI6/AM6)</f>
        <v>NA</v>
      </c>
      <c r="AQ6" s="596" t="str">
        <f>IF(AN6=0,"NA",$AI6/AN6)</f>
        <v>NA</v>
      </c>
      <c r="AR6" s="42" t="str">
        <f>IF(AO6=0,"NA",$AI6/AO6)</f>
        <v>NA</v>
      </c>
      <c r="AS6" s="4" t="s">
        <v>519</v>
      </c>
    </row>
    <row r="7" spans="1:45" ht="63.75">
      <c r="A7" s="147" t="str">
        <f>"SDG&amp;E 0"&amp;2</f>
        <v>SDG&amp;E 02</v>
      </c>
      <c r="B7" s="381" t="s">
        <v>618</v>
      </c>
      <c r="C7" s="33" t="s">
        <v>615</v>
      </c>
      <c r="D7" s="40" t="s">
        <v>767</v>
      </c>
      <c r="E7" s="41" t="s">
        <v>769</v>
      </c>
      <c r="F7" s="27" t="s">
        <v>969</v>
      </c>
      <c r="G7" s="28"/>
      <c r="H7" s="29"/>
      <c r="I7" s="27"/>
      <c r="J7" s="28"/>
      <c r="K7" s="1"/>
      <c r="L7" s="1"/>
      <c r="M7" s="1"/>
      <c r="N7" s="1"/>
      <c r="O7" s="1"/>
      <c r="P7" s="1"/>
      <c r="Q7" s="1"/>
      <c r="R7" s="1"/>
      <c r="S7" s="1"/>
      <c r="T7" s="1"/>
      <c r="U7" s="1"/>
      <c r="V7" s="1"/>
      <c r="W7" s="1"/>
      <c r="X7" s="1"/>
      <c r="Y7" s="1"/>
      <c r="Z7" s="27"/>
      <c r="AA7" s="27"/>
      <c r="AB7" s="27"/>
      <c r="AC7" s="27" t="s">
        <v>969</v>
      </c>
      <c r="AD7" s="43" t="s">
        <v>982</v>
      </c>
      <c r="AE7" s="43" t="s">
        <v>982</v>
      </c>
      <c r="AF7" s="43">
        <v>1254.2</v>
      </c>
      <c r="AG7" s="43">
        <v>1428.3</v>
      </c>
      <c r="AH7" s="43">
        <v>0</v>
      </c>
      <c r="AI7" s="43">
        <f t="shared" si="0"/>
        <v>1428.3</v>
      </c>
      <c r="AJ7" s="4" t="s">
        <v>982</v>
      </c>
      <c r="AK7" s="4" t="s">
        <v>982</v>
      </c>
      <c r="AL7" s="4" t="s">
        <v>982</v>
      </c>
      <c r="AM7" s="443">
        <v>0</v>
      </c>
      <c r="AN7" s="443">
        <v>0</v>
      </c>
      <c r="AO7" s="443">
        <v>0</v>
      </c>
      <c r="AP7" s="457" t="str">
        <f aca="true" t="shared" si="1" ref="AP7:AP56">IF(AM7=0,"NA",$AI7/AM7)</f>
        <v>NA</v>
      </c>
      <c r="AQ7" s="57" t="str">
        <f aca="true" t="shared" si="2" ref="AQ7:AQ56">IF(AN7=0,"NA",$AI7/AN7)</f>
        <v>NA</v>
      </c>
      <c r="AR7" s="43" t="str">
        <f aca="true" t="shared" si="3" ref="AR7:AR56">IF(AO7=0,"NA",$AI7/AO7)</f>
        <v>NA</v>
      </c>
      <c r="AS7" s="1" t="s">
        <v>768</v>
      </c>
    </row>
    <row r="8" spans="1:45" ht="63.75">
      <c r="A8" s="147" t="str">
        <f>"SDG&amp;E 0"&amp;3</f>
        <v>SDG&amp;E 03</v>
      </c>
      <c r="B8" s="381" t="s">
        <v>770</v>
      </c>
      <c r="C8" s="33" t="s">
        <v>615</v>
      </c>
      <c r="D8" s="40" t="s">
        <v>1347</v>
      </c>
      <c r="E8" s="41"/>
      <c r="F8" s="27" t="s">
        <v>969</v>
      </c>
      <c r="G8" s="28"/>
      <c r="H8" s="29"/>
      <c r="I8" s="27"/>
      <c r="J8" s="28"/>
      <c r="K8" s="1"/>
      <c r="L8" s="1"/>
      <c r="M8" s="1"/>
      <c r="N8" s="1"/>
      <c r="O8" s="1"/>
      <c r="P8" s="1"/>
      <c r="Q8" s="1"/>
      <c r="R8" s="1"/>
      <c r="S8" s="1"/>
      <c r="T8" s="1"/>
      <c r="U8" s="1"/>
      <c r="V8" s="1"/>
      <c r="W8" s="1"/>
      <c r="X8" s="1"/>
      <c r="Y8" s="1"/>
      <c r="Z8" s="27"/>
      <c r="AA8" s="27"/>
      <c r="AB8" s="27"/>
      <c r="AC8" s="27"/>
      <c r="AD8" s="43" t="s">
        <v>982</v>
      </c>
      <c r="AE8" s="43" t="s">
        <v>982</v>
      </c>
      <c r="AF8" s="43">
        <v>121</v>
      </c>
      <c r="AG8" s="43">
        <v>90.77</v>
      </c>
      <c r="AH8" s="43">
        <v>0</v>
      </c>
      <c r="AI8" s="43">
        <f t="shared" si="0"/>
        <v>90.77</v>
      </c>
      <c r="AJ8" s="4" t="s">
        <v>982</v>
      </c>
      <c r="AK8" s="4" t="s">
        <v>982</v>
      </c>
      <c r="AL8" s="4" t="s">
        <v>982</v>
      </c>
      <c r="AM8" s="443">
        <v>0</v>
      </c>
      <c r="AN8" s="443">
        <v>0</v>
      </c>
      <c r="AO8" s="443">
        <v>0</v>
      </c>
      <c r="AP8" s="457" t="str">
        <f t="shared" si="1"/>
        <v>NA</v>
      </c>
      <c r="AQ8" s="57" t="str">
        <f t="shared" si="2"/>
        <v>NA</v>
      </c>
      <c r="AR8" s="43" t="str">
        <f t="shared" si="3"/>
        <v>NA</v>
      </c>
      <c r="AS8" s="1"/>
    </row>
    <row r="9" spans="1:45" ht="51">
      <c r="A9" s="147" t="str">
        <f>"SDG&amp;E 0"&amp;4</f>
        <v>SDG&amp;E 04</v>
      </c>
      <c r="B9" s="381" t="s">
        <v>583</v>
      </c>
      <c r="C9" s="33" t="s">
        <v>615</v>
      </c>
      <c r="D9" s="40" t="s">
        <v>1348</v>
      </c>
      <c r="E9" s="41"/>
      <c r="F9" s="27" t="s">
        <v>969</v>
      </c>
      <c r="G9" s="28"/>
      <c r="H9" s="29"/>
      <c r="I9" s="27"/>
      <c r="J9" s="28"/>
      <c r="K9" s="1"/>
      <c r="L9" s="1"/>
      <c r="M9" s="1"/>
      <c r="N9" s="1"/>
      <c r="O9" s="1"/>
      <c r="P9" s="1"/>
      <c r="Q9" s="1"/>
      <c r="R9" s="1"/>
      <c r="S9" s="1"/>
      <c r="T9" s="1"/>
      <c r="U9" s="1"/>
      <c r="V9" s="1"/>
      <c r="W9" s="1"/>
      <c r="X9" s="1"/>
      <c r="Y9" s="1"/>
      <c r="Z9" s="27"/>
      <c r="AA9" s="27"/>
      <c r="AB9" s="27"/>
      <c r="AC9" s="27"/>
      <c r="AD9" s="43" t="s">
        <v>982</v>
      </c>
      <c r="AE9" s="43" t="s">
        <v>982</v>
      </c>
      <c r="AF9" s="43">
        <v>570</v>
      </c>
      <c r="AG9" s="43">
        <v>621.067</v>
      </c>
      <c r="AH9" s="43">
        <v>0</v>
      </c>
      <c r="AI9" s="43">
        <f t="shared" si="0"/>
        <v>621.067</v>
      </c>
      <c r="AJ9" s="4" t="s">
        <v>982</v>
      </c>
      <c r="AK9" s="4" t="s">
        <v>982</v>
      </c>
      <c r="AL9" s="4" t="s">
        <v>982</v>
      </c>
      <c r="AM9" s="443">
        <v>0</v>
      </c>
      <c r="AN9" s="443">
        <v>0</v>
      </c>
      <c r="AO9" s="443">
        <v>0</v>
      </c>
      <c r="AP9" s="457" t="str">
        <f t="shared" si="1"/>
        <v>NA</v>
      </c>
      <c r="AQ9" s="57" t="str">
        <f t="shared" si="2"/>
        <v>NA</v>
      </c>
      <c r="AR9" s="43" t="str">
        <f t="shared" si="3"/>
        <v>NA</v>
      </c>
      <c r="AS9" s="1"/>
    </row>
    <row r="10" spans="1:45" ht="38.25">
      <c r="A10" s="147" t="str">
        <f>"SDG&amp;E 0"&amp;5</f>
        <v>SDG&amp;E 05</v>
      </c>
      <c r="B10" s="381" t="s">
        <v>771</v>
      </c>
      <c r="C10" s="33" t="s">
        <v>615</v>
      </c>
      <c r="D10" s="40" t="s">
        <v>1349</v>
      </c>
      <c r="E10" s="41"/>
      <c r="F10" s="27" t="s">
        <v>969</v>
      </c>
      <c r="G10" s="28"/>
      <c r="H10" s="29"/>
      <c r="I10" s="27"/>
      <c r="J10" s="28"/>
      <c r="K10" s="1"/>
      <c r="L10" s="1"/>
      <c r="M10" s="1"/>
      <c r="N10" s="1"/>
      <c r="O10" s="1"/>
      <c r="P10" s="1"/>
      <c r="Q10" s="1"/>
      <c r="R10" s="1"/>
      <c r="S10" s="1"/>
      <c r="T10" s="1"/>
      <c r="U10" s="1"/>
      <c r="V10" s="1"/>
      <c r="W10" s="1"/>
      <c r="X10" s="1"/>
      <c r="Y10" s="1"/>
      <c r="Z10" s="27"/>
      <c r="AA10" s="27"/>
      <c r="AB10" s="27"/>
      <c r="AC10" s="27"/>
      <c r="AD10" s="43" t="s">
        <v>982</v>
      </c>
      <c r="AE10" s="43" t="s">
        <v>982</v>
      </c>
      <c r="AF10" s="43">
        <v>150</v>
      </c>
      <c r="AG10" s="43">
        <v>216.642</v>
      </c>
      <c r="AH10" s="43">
        <v>0</v>
      </c>
      <c r="AI10" s="43">
        <f t="shared" si="0"/>
        <v>216.642</v>
      </c>
      <c r="AJ10" s="4" t="s">
        <v>982</v>
      </c>
      <c r="AK10" s="4" t="s">
        <v>982</v>
      </c>
      <c r="AL10" s="4" t="s">
        <v>982</v>
      </c>
      <c r="AM10" s="443">
        <v>0</v>
      </c>
      <c r="AN10" s="443">
        <v>0</v>
      </c>
      <c r="AO10" s="443">
        <v>0</v>
      </c>
      <c r="AP10" s="457" t="str">
        <f t="shared" si="1"/>
        <v>NA</v>
      </c>
      <c r="AQ10" s="57" t="str">
        <f t="shared" si="2"/>
        <v>NA</v>
      </c>
      <c r="AR10" s="43" t="str">
        <f t="shared" si="3"/>
        <v>NA</v>
      </c>
      <c r="AS10" s="1"/>
    </row>
    <row r="11" spans="1:45" ht="51">
      <c r="A11" s="147" t="str">
        <f>"SDG&amp;E 0"&amp;6</f>
        <v>SDG&amp;E 06</v>
      </c>
      <c r="B11" s="381" t="s">
        <v>772</v>
      </c>
      <c r="C11" s="33" t="s">
        <v>295</v>
      </c>
      <c r="D11" s="40" t="s">
        <v>1281</v>
      </c>
      <c r="E11" s="41" t="s">
        <v>1282</v>
      </c>
      <c r="F11" s="27" t="s">
        <v>969</v>
      </c>
      <c r="G11" s="28"/>
      <c r="H11" s="29"/>
      <c r="I11" s="27"/>
      <c r="J11" s="28"/>
      <c r="K11" s="1"/>
      <c r="L11" s="1"/>
      <c r="M11" s="1"/>
      <c r="N11" s="1"/>
      <c r="O11" s="1"/>
      <c r="P11" s="1"/>
      <c r="Q11" s="1"/>
      <c r="R11" s="1"/>
      <c r="S11" s="1"/>
      <c r="T11" s="1"/>
      <c r="U11" s="1"/>
      <c r="V11" s="1"/>
      <c r="W11" s="1"/>
      <c r="X11" s="1"/>
      <c r="Y11" s="1"/>
      <c r="Z11" s="27"/>
      <c r="AA11" s="27"/>
      <c r="AB11" s="27"/>
      <c r="AC11" s="27"/>
      <c r="AD11" s="43" t="s">
        <v>982</v>
      </c>
      <c r="AE11" s="43" t="s">
        <v>982</v>
      </c>
      <c r="AF11" s="43">
        <v>1169.8</v>
      </c>
      <c r="AG11" s="43">
        <v>739.177</v>
      </c>
      <c r="AH11" s="43">
        <v>30.942</v>
      </c>
      <c r="AI11" s="43">
        <f t="shared" si="0"/>
        <v>770.119</v>
      </c>
      <c r="AJ11" s="4" t="s">
        <v>982</v>
      </c>
      <c r="AK11" s="4" t="s">
        <v>982</v>
      </c>
      <c r="AL11" s="4" t="s">
        <v>982</v>
      </c>
      <c r="AM11" s="57">
        <v>212</v>
      </c>
      <c r="AN11" s="1">
        <v>0.02</v>
      </c>
      <c r="AO11" s="1" t="s">
        <v>982</v>
      </c>
      <c r="AP11" s="457">
        <f t="shared" si="1"/>
        <v>3.63263679245283</v>
      </c>
      <c r="AQ11" s="57">
        <f t="shared" si="2"/>
        <v>38505.95</v>
      </c>
      <c r="AR11" s="43" t="e">
        <f t="shared" si="3"/>
        <v>#VALUE!</v>
      </c>
      <c r="AS11" s="1" t="s">
        <v>1283</v>
      </c>
    </row>
    <row r="12" spans="1:45" ht="89.25">
      <c r="A12" s="147" t="str">
        <f>"SDG&amp;E 0"&amp;7</f>
        <v>SDG&amp;E 07</v>
      </c>
      <c r="B12" s="381" t="s">
        <v>1285</v>
      </c>
      <c r="C12" s="33" t="s">
        <v>43</v>
      </c>
      <c r="D12" s="40" t="s">
        <v>1286</v>
      </c>
      <c r="E12" s="41" t="s">
        <v>1376</v>
      </c>
      <c r="F12" s="27" t="s">
        <v>969</v>
      </c>
      <c r="G12" s="28"/>
      <c r="H12" s="29"/>
      <c r="I12" s="27"/>
      <c r="J12" s="28"/>
      <c r="K12" s="1"/>
      <c r="L12" s="1"/>
      <c r="M12" s="1"/>
      <c r="N12" s="1"/>
      <c r="O12" s="1"/>
      <c r="P12" s="1"/>
      <c r="Q12" s="1"/>
      <c r="R12" s="1"/>
      <c r="S12" s="1"/>
      <c r="T12" s="1"/>
      <c r="U12" s="1"/>
      <c r="V12" s="1"/>
      <c r="W12" s="1"/>
      <c r="X12" s="1"/>
      <c r="Y12" s="1"/>
      <c r="Z12" s="27"/>
      <c r="AA12" s="27"/>
      <c r="AB12" s="27"/>
      <c r="AC12" s="27"/>
      <c r="AD12" s="43" t="s">
        <v>982</v>
      </c>
      <c r="AE12" s="43" t="s">
        <v>982</v>
      </c>
      <c r="AF12" s="43">
        <v>1523</v>
      </c>
      <c r="AG12" s="43">
        <v>752.95</v>
      </c>
      <c r="AH12" s="43">
        <v>735.625</v>
      </c>
      <c r="AI12" s="43">
        <f t="shared" si="0"/>
        <v>1488.575</v>
      </c>
      <c r="AJ12" s="4" t="s">
        <v>982</v>
      </c>
      <c r="AK12" s="4" t="s">
        <v>982</v>
      </c>
      <c r="AL12" s="4" t="s">
        <v>982</v>
      </c>
      <c r="AM12" s="57">
        <v>1294</v>
      </c>
      <c r="AN12" s="1">
        <v>0.11</v>
      </c>
      <c r="AO12" s="1">
        <v>58.906</v>
      </c>
      <c r="AP12" s="457">
        <f>IF(AM12=0,"NA",$AI12/AM12)</f>
        <v>1.1503670788253477</v>
      </c>
      <c r="AQ12" s="57">
        <f t="shared" si="2"/>
        <v>13532.5</v>
      </c>
      <c r="AR12" s="43">
        <f t="shared" si="3"/>
        <v>25.27034597494313</v>
      </c>
      <c r="AS12" s="1" t="s">
        <v>44</v>
      </c>
    </row>
    <row r="13" spans="1:45" ht="102">
      <c r="A13" s="147" t="str">
        <f>"SDG&amp;E 0"&amp;8</f>
        <v>SDG&amp;E 08</v>
      </c>
      <c r="B13" s="381" t="s">
        <v>42</v>
      </c>
      <c r="C13" s="33" t="s">
        <v>43</v>
      </c>
      <c r="D13" s="40" t="s">
        <v>1350</v>
      </c>
      <c r="E13" s="41"/>
      <c r="F13" s="27" t="s">
        <v>969</v>
      </c>
      <c r="G13" s="28"/>
      <c r="H13" s="29"/>
      <c r="I13" s="27"/>
      <c r="J13" s="28"/>
      <c r="K13" s="1"/>
      <c r="L13" s="1"/>
      <c r="M13" s="1"/>
      <c r="N13" s="1"/>
      <c r="O13" s="1"/>
      <c r="P13" s="1"/>
      <c r="Q13" s="1"/>
      <c r="R13" s="1"/>
      <c r="S13" s="1"/>
      <c r="T13" s="1"/>
      <c r="U13" s="1"/>
      <c r="V13" s="1"/>
      <c r="W13" s="1"/>
      <c r="X13" s="1"/>
      <c r="Y13" s="1"/>
      <c r="Z13" s="27"/>
      <c r="AA13" s="27"/>
      <c r="AB13" s="27"/>
      <c r="AC13" s="27"/>
      <c r="AD13" s="43" t="s">
        <v>982</v>
      </c>
      <c r="AE13" s="43" t="s">
        <v>982</v>
      </c>
      <c r="AF13" s="43">
        <v>173</v>
      </c>
      <c r="AG13" s="43">
        <v>39.437</v>
      </c>
      <c r="AH13" s="43">
        <v>153.118</v>
      </c>
      <c r="AI13" s="43">
        <f t="shared" si="0"/>
        <v>192.555</v>
      </c>
      <c r="AJ13" s="4" t="s">
        <v>982</v>
      </c>
      <c r="AK13" s="4" t="s">
        <v>982</v>
      </c>
      <c r="AL13" s="4" t="s">
        <v>982</v>
      </c>
      <c r="AM13" s="443">
        <v>0</v>
      </c>
      <c r="AN13" s="443">
        <v>0</v>
      </c>
      <c r="AO13" s="443">
        <v>0</v>
      </c>
      <c r="AP13" s="457" t="str">
        <f t="shared" si="1"/>
        <v>NA</v>
      </c>
      <c r="AQ13" s="57" t="str">
        <f t="shared" si="2"/>
        <v>NA</v>
      </c>
      <c r="AR13" s="43" t="str">
        <f t="shared" si="3"/>
        <v>NA</v>
      </c>
      <c r="AS13" s="1"/>
    </row>
    <row r="14" spans="1:45" ht="114.75">
      <c r="A14" s="147" t="str">
        <f>"SDG&amp;E 0"&amp;9</f>
        <v>SDG&amp;E 09</v>
      </c>
      <c r="B14" s="381" t="s">
        <v>513</v>
      </c>
      <c r="C14" s="33" t="s">
        <v>43</v>
      </c>
      <c r="D14" s="41" t="s">
        <v>45</v>
      </c>
      <c r="E14" s="41"/>
      <c r="F14" s="27" t="s">
        <v>969</v>
      </c>
      <c r="G14" s="28"/>
      <c r="H14" s="29"/>
      <c r="I14" s="27"/>
      <c r="J14" s="28"/>
      <c r="K14" s="1"/>
      <c r="L14" s="1"/>
      <c r="M14" s="1"/>
      <c r="N14" s="1"/>
      <c r="O14" s="1"/>
      <c r="P14" s="1"/>
      <c r="Q14" s="1"/>
      <c r="R14" s="1"/>
      <c r="S14" s="1"/>
      <c r="T14" s="1"/>
      <c r="U14" s="1"/>
      <c r="V14" s="1"/>
      <c r="W14" s="1"/>
      <c r="X14" s="1"/>
      <c r="Y14" s="1"/>
      <c r="Z14" s="27"/>
      <c r="AA14" s="27"/>
      <c r="AB14" s="27"/>
      <c r="AC14" s="27"/>
      <c r="AD14" s="43" t="s">
        <v>982</v>
      </c>
      <c r="AE14" s="43">
        <v>2000</v>
      </c>
      <c r="AF14" s="43"/>
      <c r="AG14" s="43">
        <f>675.414+14.822</f>
        <v>690.236</v>
      </c>
      <c r="AH14" s="43">
        <f>2126.604+296.448</f>
        <v>2423.0519999999997</v>
      </c>
      <c r="AI14" s="43">
        <f t="shared" si="0"/>
        <v>3113.2879999999996</v>
      </c>
      <c r="AJ14" s="4" t="s">
        <v>982</v>
      </c>
      <c r="AK14" s="4" t="s">
        <v>982</v>
      </c>
      <c r="AL14" s="4" t="s">
        <v>982</v>
      </c>
      <c r="AM14" s="57">
        <v>9069</v>
      </c>
      <c r="AN14" s="1">
        <v>0.4</v>
      </c>
      <c r="AO14" s="1">
        <v>1151.818</v>
      </c>
      <c r="AP14" s="457">
        <f t="shared" si="1"/>
        <v>0.3432890065056786</v>
      </c>
      <c r="AQ14" s="57">
        <f t="shared" si="2"/>
        <v>7783.219999999998</v>
      </c>
      <c r="AR14" s="43">
        <f t="shared" si="3"/>
        <v>2.702933970471029</v>
      </c>
      <c r="AS14" s="1" t="s">
        <v>46</v>
      </c>
    </row>
    <row r="15" spans="1:45" ht="229.5">
      <c r="A15" s="147" t="str">
        <f>"SDG&amp;E "&amp;10</f>
        <v>SDG&amp;E 10</v>
      </c>
      <c r="B15" s="381" t="s">
        <v>514</v>
      </c>
      <c r="C15" s="33" t="s">
        <v>43</v>
      </c>
      <c r="D15" s="40" t="s">
        <v>47</v>
      </c>
      <c r="E15" s="41" t="s">
        <v>50</v>
      </c>
      <c r="F15" s="27" t="s">
        <v>969</v>
      </c>
      <c r="G15" s="28"/>
      <c r="H15" s="29"/>
      <c r="I15" s="27"/>
      <c r="J15" s="28"/>
      <c r="K15" s="1"/>
      <c r="L15" s="1"/>
      <c r="M15" s="1"/>
      <c r="N15" s="1"/>
      <c r="O15" s="1"/>
      <c r="P15" s="1"/>
      <c r="Q15" s="1"/>
      <c r="R15" s="1"/>
      <c r="S15" s="1"/>
      <c r="T15" s="1"/>
      <c r="U15" s="1"/>
      <c r="V15" s="1"/>
      <c r="W15" s="1"/>
      <c r="X15" s="1"/>
      <c r="Y15" s="1"/>
      <c r="Z15" s="27"/>
      <c r="AA15" s="27"/>
      <c r="AB15" s="27"/>
      <c r="AC15" s="27"/>
      <c r="AD15" s="43" t="s">
        <v>982</v>
      </c>
      <c r="AE15" s="43" t="s">
        <v>982</v>
      </c>
      <c r="AF15" s="43">
        <v>1156</v>
      </c>
      <c r="AG15" s="43">
        <v>1296.383</v>
      </c>
      <c r="AH15" s="43">
        <v>2119.868</v>
      </c>
      <c r="AI15" s="43">
        <f t="shared" si="0"/>
        <v>3416.251</v>
      </c>
      <c r="AJ15" s="4" t="s">
        <v>982</v>
      </c>
      <c r="AK15" s="4" t="s">
        <v>982</v>
      </c>
      <c r="AL15" s="4" t="s">
        <v>982</v>
      </c>
      <c r="AM15" s="57">
        <f>1754+229</f>
        <v>1983</v>
      </c>
      <c r="AN15" s="1">
        <f>6.11+0.44</f>
        <v>6.550000000000001</v>
      </c>
      <c r="AO15" s="1">
        <f>163.886+29.545</f>
        <v>193.43099999999998</v>
      </c>
      <c r="AP15" s="457">
        <f t="shared" si="1"/>
        <v>1.7227690368129098</v>
      </c>
      <c r="AQ15" s="57">
        <f t="shared" si="2"/>
        <v>521.565038167939</v>
      </c>
      <c r="AR15" s="43">
        <f t="shared" si="3"/>
        <v>17.66134177045045</v>
      </c>
      <c r="AS15" s="1"/>
    </row>
    <row r="16" spans="1:45" ht="140.25">
      <c r="A16" s="147" t="str">
        <f>"SDG&amp;E "&amp;11</f>
        <v>SDG&amp;E 11</v>
      </c>
      <c r="B16" s="381" t="s">
        <v>49</v>
      </c>
      <c r="C16" s="33" t="s">
        <v>48</v>
      </c>
      <c r="D16" s="40" t="s">
        <v>859</v>
      </c>
      <c r="E16" s="41" t="s">
        <v>51</v>
      </c>
      <c r="F16" s="27" t="s">
        <v>969</v>
      </c>
      <c r="G16" s="28"/>
      <c r="H16" s="29"/>
      <c r="I16" s="27"/>
      <c r="J16" s="28"/>
      <c r="K16" s="1"/>
      <c r="L16" s="1"/>
      <c r="M16" s="1"/>
      <c r="N16" s="1"/>
      <c r="O16" s="1"/>
      <c r="P16" s="1"/>
      <c r="Q16" s="1"/>
      <c r="R16" s="1"/>
      <c r="S16" s="1"/>
      <c r="T16" s="1"/>
      <c r="U16" s="1"/>
      <c r="V16" s="1"/>
      <c r="W16" s="1"/>
      <c r="X16" s="1"/>
      <c r="Y16" s="1"/>
      <c r="Z16" s="27"/>
      <c r="AA16" s="27"/>
      <c r="AB16" s="27"/>
      <c r="AC16" s="27"/>
      <c r="AD16" s="43" t="s">
        <v>982</v>
      </c>
      <c r="AE16" s="43" t="s">
        <v>982</v>
      </c>
      <c r="AF16" s="43">
        <f>573+1644</f>
        <v>2217</v>
      </c>
      <c r="AG16" s="43">
        <v>728.654</v>
      </c>
      <c r="AH16" s="43">
        <v>1394.629</v>
      </c>
      <c r="AI16" s="43">
        <f t="shared" si="0"/>
        <v>2123.283</v>
      </c>
      <c r="AJ16" s="4" t="s">
        <v>982</v>
      </c>
      <c r="AK16" s="4" t="s">
        <v>982</v>
      </c>
      <c r="AL16" s="4" t="s">
        <v>982</v>
      </c>
      <c r="AM16" s="57">
        <f>29448+1685</f>
        <v>31133</v>
      </c>
      <c r="AN16" s="1">
        <f>2.58+0.18</f>
        <v>2.7600000000000002</v>
      </c>
      <c r="AO16" s="1"/>
      <c r="AP16" s="457">
        <f t="shared" si="1"/>
        <v>0.06820039829120225</v>
      </c>
      <c r="AQ16" s="57">
        <f t="shared" si="2"/>
        <v>769.3054347826086</v>
      </c>
      <c r="AR16" s="43" t="str">
        <f t="shared" si="3"/>
        <v>NA</v>
      </c>
      <c r="AS16" s="1"/>
    </row>
    <row r="17" spans="1:45" ht="76.5">
      <c r="A17" s="147" t="str">
        <f>"SDG&amp;E "&amp;12</f>
        <v>SDG&amp;E 12</v>
      </c>
      <c r="B17" s="381" t="s">
        <v>52</v>
      </c>
      <c r="C17" s="33" t="s">
        <v>48</v>
      </c>
      <c r="D17" s="40" t="s">
        <v>1351</v>
      </c>
      <c r="E17" s="41"/>
      <c r="F17" s="27" t="s">
        <v>969</v>
      </c>
      <c r="G17" s="28"/>
      <c r="H17" s="29"/>
      <c r="I17" s="27"/>
      <c r="J17" s="28"/>
      <c r="K17" s="1"/>
      <c r="L17" s="1"/>
      <c r="M17" s="1"/>
      <c r="N17" s="1"/>
      <c r="O17" s="1"/>
      <c r="P17" s="1"/>
      <c r="Q17" s="1"/>
      <c r="R17" s="1"/>
      <c r="S17" s="1"/>
      <c r="T17" s="1"/>
      <c r="U17" s="1"/>
      <c r="V17" s="1"/>
      <c r="W17" s="1"/>
      <c r="X17" s="1"/>
      <c r="Y17" s="1"/>
      <c r="Z17" s="27"/>
      <c r="AA17" s="27"/>
      <c r="AB17" s="27"/>
      <c r="AC17" s="27"/>
      <c r="AD17" s="43" t="s">
        <v>982</v>
      </c>
      <c r="AE17" s="43" t="s">
        <v>982</v>
      </c>
      <c r="AF17" s="43">
        <v>75</v>
      </c>
      <c r="AG17" s="43">
        <v>53.35</v>
      </c>
      <c r="AH17" s="43">
        <v>0</v>
      </c>
      <c r="AI17" s="43">
        <f t="shared" si="0"/>
        <v>53.35</v>
      </c>
      <c r="AJ17" s="4" t="s">
        <v>982</v>
      </c>
      <c r="AK17" s="4" t="s">
        <v>982</v>
      </c>
      <c r="AL17" s="4" t="s">
        <v>982</v>
      </c>
      <c r="AM17" s="443">
        <v>0</v>
      </c>
      <c r="AN17" s="443">
        <v>0</v>
      </c>
      <c r="AO17" s="443">
        <v>0</v>
      </c>
      <c r="AP17" s="457" t="str">
        <f t="shared" si="1"/>
        <v>NA</v>
      </c>
      <c r="AQ17" s="57" t="str">
        <f t="shared" si="2"/>
        <v>NA</v>
      </c>
      <c r="AR17" s="43" t="str">
        <f t="shared" si="3"/>
        <v>NA</v>
      </c>
      <c r="AS17" s="1"/>
    </row>
    <row r="18" spans="1:45" ht="51">
      <c r="A18" s="147" t="str">
        <f>"SDG&amp;E "&amp;13</f>
        <v>SDG&amp;E 13</v>
      </c>
      <c r="B18" s="381" t="s">
        <v>53</v>
      </c>
      <c r="C18" s="33" t="s">
        <v>48</v>
      </c>
      <c r="D18" s="40" t="s">
        <v>528</v>
      </c>
      <c r="E18" s="41" t="s">
        <v>527</v>
      </c>
      <c r="F18" s="27" t="s">
        <v>969</v>
      </c>
      <c r="G18" s="28"/>
      <c r="H18" s="29"/>
      <c r="I18" s="27"/>
      <c r="J18" s="28"/>
      <c r="K18" s="1"/>
      <c r="L18" s="1"/>
      <c r="M18" s="1"/>
      <c r="N18" s="1"/>
      <c r="O18" s="1"/>
      <c r="P18" s="1"/>
      <c r="Q18" s="1"/>
      <c r="R18" s="1"/>
      <c r="S18" s="1"/>
      <c r="T18" s="1"/>
      <c r="U18" s="1"/>
      <c r="V18" s="1"/>
      <c r="W18" s="1"/>
      <c r="X18" s="1"/>
      <c r="Y18" s="1"/>
      <c r="Z18" s="27"/>
      <c r="AA18" s="27"/>
      <c r="AB18" s="27"/>
      <c r="AC18" s="27"/>
      <c r="AD18" s="43" t="s">
        <v>982</v>
      </c>
      <c r="AE18" s="43" t="s">
        <v>982</v>
      </c>
      <c r="AF18" s="43">
        <v>590</v>
      </c>
      <c r="AG18" s="43">
        <v>589.808</v>
      </c>
      <c r="AH18" s="43">
        <v>0</v>
      </c>
      <c r="AI18" s="43">
        <f t="shared" si="0"/>
        <v>589.808</v>
      </c>
      <c r="AJ18" s="4" t="s">
        <v>982</v>
      </c>
      <c r="AK18" s="4" t="s">
        <v>982</v>
      </c>
      <c r="AL18" s="4" t="s">
        <v>982</v>
      </c>
      <c r="AM18" s="57">
        <v>486</v>
      </c>
      <c r="AN18" s="1">
        <v>0.89</v>
      </c>
      <c r="AO18" s="1">
        <v>21.23</v>
      </c>
      <c r="AP18" s="457">
        <f t="shared" si="1"/>
        <v>1.21359670781893</v>
      </c>
      <c r="AQ18" s="57">
        <f t="shared" si="2"/>
        <v>662.705617977528</v>
      </c>
      <c r="AR18" s="43">
        <f t="shared" si="3"/>
        <v>27.78181818181818</v>
      </c>
      <c r="AS18" s="2" t="s">
        <v>529</v>
      </c>
    </row>
    <row r="19" spans="1:45" ht="25.5">
      <c r="A19" s="147" t="str">
        <f>"SDG&amp;E "&amp;14</f>
        <v>SDG&amp;E 14</v>
      </c>
      <c r="B19" s="381" t="s">
        <v>515</v>
      </c>
      <c r="C19" s="33" t="s">
        <v>516</v>
      </c>
      <c r="D19" s="40" t="s">
        <v>515</v>
      </c>
      <c r="E19" s="41" t="s">
        <v>982</v>
      </c>
      <c r="F19" s="27" t="s">
        <v>969</v>
      </c>
      <c r="G19" s="28"/>
      <c r="H19" s="29"/>
      <c r="I19" s="27"/>
      <c r="J19" s="28"/>
      <c r="K19" s="1"/>
      <c r="L19" s="1"/>
      <c r="M19" s="1"/>
      <c r="N19" s="1"/>
      <c r="O19" s="1"/>
      <c r="P19" s="1"/>
      <c r="Q19" s="1"/>
      <c r="R19" s="1"/>
      <c r="S19" s="1"/>
      <c r="T19" s="1"/>
      <c r="U19" s="1"/>
      <c r="V19" s="1"/>
      <c r="W19" s="1"/>
      <c r="X19" s="1"/>
      <c r="Y19" s="1"/>
      <c r="Z19" s="27"/>
      <c r="AA19" s="27"/>
      <c r="AB19" s="27"/>
      <c r="AC19" s="27"/>
      <c r="AD19" s="43" t="s">
        <v>982</v>
      </c>
      <c r="AE19" s="43" t="s">
        <v>982</v>
      </c>
      <c r="AF19" s="43">
        <v>173</v>
      </c>
      <c r="AG19" s="43" t="s">
        <v>982</v>
      </c>
      <c r="AH19" s="43" t="s">
        <v>982</v>
      </c>
      <c r="AI19" s="43">
        <v>5052</v>
      </c>
      <c r="AJ19" s="4" t="s">
        <v>982</v>
      </c>
      <c r="AK19" s="4" t="s">
        <v>982</v>
      </c>
      <c r="AL19" s="4" t="s">
        <v>982</v>
      </c>
      <c r="AM19" s="57">
        <v>44</v>
      </c>
      <c r="AN19" s="443">
        <v>0</v>
      </c>
      <c r="AO19" s="1">
        <v>20.061</v>
      </c>
      <c r="AP19" s="457">
        <f t="shared" si="1"/>
        <v>114.81818181818181</v>
      </c>
      <c r="AQ19" s="57" t="str">
        <f t="shared" si="2"/>
        <v>NA</v>
      </c>
      <c r="AR19" s="43">
        <f t="shared" si="3"/>
        <v>251.83191266636757</v>
      </c>
      <c r="AS19" s="2" t="s">
        <v>529</v>
      </c>
    </row>
    <row r="20" spans="2:45" ht="12.75">
      <c r="B20" s="265" t="s">
        <v>1147</v>
      </c>
      <c r="C20" s="265" t="s">
        <v>1080</v>
      </c>
      <c r="D20" s="266"/>
      <c r="E20" s="257"/>
      <c r="F20" s="352"/>
      <c r="G20" s="352"/>
      <c r="H20" s="375"/>
      <c r="I20" s="352"/>
      <c r="J20" s="352"/>
      <c r="K20" s="267"/>
      <c r="L20" s="267"/>
      <c r="M20" s="267"/>
      <c r="N20" s="267"/>
      <c r="O20" s="267"/>
      <c r="P20" s="267"/>
      <c r="Q20" s="267"/>
      <c r="R20" s="267"/>
      <c r="S20" s="267"/>
      <c r="T20" s="267"/>
      <c r="U20" s="267"/>
      <c r="V20" s="267"/>
      <c r="W20" s="267"/>
      <c r="X20" s="267"/>
      <c r="Y20" s="267"/>
      <c r="Z20" s="352"/>
      <c r="AA20" s="352"/>
      <c r="AB20" s="352"/>
      <c r="AC20" s="352"/>
      <c r="AD20" s="379">
        <f>SUM(AD6:AD19)</f>
        <v>0</v>
      </c>
      <c r="AE20" s="379">
        <f>SUM(AE6:AE19)</f>
        <v>2000</v>
      </c>
      <c r="AF20" s="379">
        <f>SUM(AF6:AF19)</f>
        <v>9202</v>
      </c>
      <c r="AG20" s="379">
        <f>SUM(AG6:AG19)</f>
        <v>7283.03</v>
      </c>
      <c r="AH20" s="379">
        <f aca="true" t="shared" si="4" ref="AH20:AO20">SUM(AH6:AH19)</f>
        <v>6857.2339999999995</v>
      </c>
      <c r="AI20" s="379">
        <f t="shared" si="4"/>
        <v>19192.264</v>
      </c>
      <c r="AJ20" s="379">
        <f t="shared" si="4"/>
        <v>0</v>
      </c>
      <c r="AK20" s="379">
        <f t="shared" si="4"/>
        <v>0</v>
      </c>
      <c r="AL20" s="379">
        <f t="shared" si="4"/>
        <v>0</v>
      </c>
      <c r="AM20" s="379">
        <f t="shared" si="4"/>
        <v>44221</v>
      </c>
      <c r="AN20" s="379">
        <f t="shared" si="4"/>
        <v>10.730000000000002</v>
      </c>
      <c r="AO20" s="379">
        <f t="shared" si="4"/>
        <v>1445.446</v>
      </c>
      <c r="AP20" s="458">
        <f t="shared" si="1"/>
        <v>0.4340079147916148</v>
      </c>
      <c r="AQ20" s="440">
        <f t="shared" si="2"/>
        <v>1788.654613233923</v>
      </c>
      <c r="AR20" s="379">
        <f t="shared" si="3"/>
        <v>13.277745415601828</v>
      </c>
      <c r="AS20" s="267"/>
    </row>
    <row r="21" spans="1:45" ht="63.75">
      <c r="A21" s="147" t="str">
        <f>"SDG&amp;E "&amp;15</f>
        <v>SDG&amp;E 15</v>
      </c>
      <c r="B21" s="33" t="s">
        <v>369</v>
      </c>
      <c r="C21" s="33" t="s">
        <v>530</v>
      </c>
      <c r="D21" s="40" t="s">
        <v>860</v>
      </c>
      <c r="E21" s="41" t="s">
        <v>297</v>
      </c>
      <c r="F21" s="27" t="s">
        <v>969</v>
      </c>
      <c r="G21" s="28"/>
      <c r="H21" s="29"/>
      <c r="I21" s="27"/>
      <c r="J21" s="28"/>
      <c r="K21" s="1"/>
      <c r="L21" s="1"/>
      <c r="M21" s="1"/>
      <c r="N21" s="1"/>
      <c r="O21" s="1"/>
      <c r="P21" s="1"/>
      <c r="Q21" s="1"/>
      <c r="R21" s="1"/>
      <c r="S21" s="1"/>
      <c r="T21" s="1"/>
      <c r="U21" s="1"/>
      <c r="V21" s="1"/>
      <c r="W21" s="1"/>
      <c r="X21" s="1"/>
      <c r="Y21" s="1"/>
      <c r="Z21" s="27"/>
      <c r="AA21" s="27"/>
      <c r="AB21" s="27"/>
      <c r="AC21" s="27"/>
      <c r="AD21" s="43" t="s">
        <v>982</v>
      </c>
      <c r="AE21" s="43" t="s">
        <v>982</v>
      </c>
      <c r="AF21" s="43">
        <f>95+353</f>
        <v>448</v>
      </c>
      <c r="AG21" s="43">
        <f>122.722+317.876</f>
        <v>440.59799999999996</v>
      </c>
      <c r="AH21" s="43">
        <v>0</v>
      </c>
      <c r="AI21" s="43">
        <f t="shared" si="0"/>
        <v>440.59799999999996</v>
      </c>
      <c r="AJ21" s="1" t="s">
        <v>982</v>
      </c>
      <c r="AK21" s="1" t="s">
        <v>982</v>
      </c>
      <c r="AL21" s="1" t="s">
        <v>982</v>
      </c>
      <c r="AM21" s="443">
        <v>0</v>
      </c>
      <c r="AN21" s="443">
        <v>0</v>
      </c>
      <c r="AO21" s="443">
        <v>0</v>
      </c>
      <c r="AP21" s="457" t="str">
        <f t="shared" si="1"/>
        <v>NA</v>
      </c>
      <c r="AQ21" s="57" t="str">
        <f t="shared" si="2"/>
        <v>NA</v>
      </c>
      <c r="AR21" s="43" t="str">
        <f t="shared" si="3"/>
        <v>NA</v>
      </c>
      <c r="AS21" s="2"/>
    </row>
    <row r="22" spans="1:45" ht="63.75">
      <c r="A22" s="147" t="str">
        <f>"SDG&amp;E "&amp;16</f>
        <v>SDG&amp;E 16</v>
      </c>
      <c r="B22" s="33" t="s">
        <v>531</v>
      </c>
      <c r="C22" s="33" t="s">
        <v>530</v>
      </c>
      <c r="D22" s="40" t="s">
        <v>298</v>
      </c>
      <c r="E22" s="41" t="s">
        <v>299</v>
      </c>
      <c r="F22" s="27" t="s">
        <v>969</v>
      </c>
      <c r="G22" s="28"/>
      <c r="H22" s="29"/>
      <c r="I22" s="27"/>
      <c r="J22" s="28"/>
      <c r="K22" s="1"/>
      <c r="L22" s="1"/>
      <c r="M22" s="1"/>
      <c r="N22" s="1"/>
      <c r="O22" s="1"/>
      <c r="P22" s="1"/>
      <c r="Q22" s="1"/>
      <c r="R22" s="1"/>
      <c r="S22" s="1"/>
      <c r="T22" s="1"/>
      <c r="U22" s="1"/>
      <c r="V22" s="1"/>
      <c r="W22" s="1"/>
      <c r="X22" s="1"/>
      <c r="Y22" s="1"/>
      <c r="Z22" s="27"/>
      <c r="AA22" s="27"/>
      <c r="AB22" s="27"/>
      <c r="AC22" s="27"/>
      <c r="AD22" s="43" t="s">
        <v>982</v>
      </c>
      <c r="AE22" s="43" t="s">
        <v>982</v>
      </c>
      <c r="AF22" s="43">
        <v>10</v>
      </c>
      <c r="AG22" s="43">
        <v>10.82</v>
      </c>
      <c r="AH22" s="43">
        <v>0</v>
      </c>
      <c r="AI22" s="43">
        <f t="shared" si="0"/>
        <v>10.82</v>
      </c>
      <c r="AJ22" s="1" t="s">
        <v>982</v>
      </c>
      <c r="AK22" s="1" t="s">
        <v>982</v>
      </c>
      <c r="AL22" s="1" t="s">
        <v>982</v>
      </c>
      <c r="AM22" s="443">
        <v>0</v>
      </c>
      <c r="AN22" s="443">
        <v>0</v>
      </c>
      <c r="AO22" s="443">
        <v>0</v>
      </c>
      <c r="AP22" s="457" t="str">
        <f t="shared" si="1"/>
        <v>NA</v>
      </c>
      <c r="AQ22" s="57" t="str">
        <f t="shared" si="2"/>
        <v>NA</v>
      </c>
      <c r="AR22" s="43" t="str">
        <f t="shared" si="3"/>
        <v>NA</v>
      </c>
      <c r="AS22" s="2"/>
    </row>
    <row r="23" spans="1:45" ht="102">
      <c r="A23" s="147" t="str">
        <f>"SDG&amp;E "&amp;17</f>
        <v>SDG&amp;E 17</v>
      </c>
      <c r="B23" s="33" t="s">
        <v>532</v>
      </c>
      <c r="C23" s="33" t="s">
        <v>530</v>
      </c>
      <c r="D23" s="40" t="s">
        <v>300</v>
      </c>
      <c r="E23" s="41" t="s">
        <v>301</v>
      </c>
      <c r="F23" s="27" t="s">
        <v>969</v>
      </c>
      <c r="G23" s="28"/>
      <c r="H23" s="29"/>
      <c r="I23" s="27"/>
      <c r="J23" s="28"/>
      <c r="K23" s="1"/>
      <c r="L23" s="1"/>
      <c r="M23" s="1"/>
      <c r="N23" s="1"/>
      <c r="O23" s="1"/>
      <c r="P23" s="1"/>
      <c r="Q23" s="1"/>
      <c r="R23" s="1"/>
      <c r="S23" s="1"/>
      <c r="T23" s="1"/>
      <c r="U23" s="1"/>
      <c r="V23" s="1"/>
      <c r="W23" s="1"/>
      <c r="X23" s="1"/>
      <c r="Y23" s="1"/>
      <c r="Z23" s="27"/>
      <c r="AA23" s="27"/>
      <c r="AB23" s="27"/>
      <c r="AC23" s="27"/>
      <c r="AD23" s="43" t="s">
        <v>982</v>
      </c>
      <c r="AE23" s="43" t="s">
        <v>982</v>
      </c>
      <c r="AF23" s="43">
        <v>50</v>
      </c>
      <c r="AG23" s="43">
        <v>63.457</v>
      </c>
      <c r="AH23" s="43">
        <v>0</v>
      </c>
      <c r="AI23" s="43">
        <f t="shared" si="0"/>
        <v>63.457</v>
      </c>
      <c r="AJ23" s="1" t="s">
        <v>982</v>
      </c>
      <c r="AK23" s="1" t="s">
        <v>982</v>
      </c>
      <c r="AL23" s="1" t="s">
        <v>982</v>
      </c>
      <c r="AM23" s="443">
        <v>0</v>
      </c>
      <c r="AN23" s="443">
        <v>0</v>
      </c>
      <c r="AO23" s="443">
        <v>0</v>
      </c>
      <c r="AP23" s="457" t="str">
        <f t="shared" si="1"/>
        <v>NA</v>
      </c>
      <c r="AQ23" s="57" t="str">
        <f t="shared" si="2"/>
        <v>NA</v>
      </c>
      <c r="AR23" s="43" t="str">
        <f t="shared" si="3"/>
        <v>NA</v>
      </c>
      <c r="AS23" s="2"/>
    </row>
    <row r="24" spans="1:45" ht="76.5">
      <c r="A24" s="147" t="str">
        <f>"SDG&amp;E "&amp;18</f>
        <v>SDG&amp;E 18</v>
      </c>
      <c r="B24" s="33" t="s">
        <v>533</v>
      </c>
      <c r="C24" s="33" t="s">
        <v>530</v>
      </c>
      <c r="D24" s="40" t="s">
        <v>302</v>
      </c>
      <c r="E24" s="41" t="s">
        <v>303</v>
      </c>
      <c r="F24" s="27" t="s">
        <v>969</v>
      </c>
      <c r="G24" s="28"/>
      <c r="H24" s="29"/>
      <c r="I24" s="27"/>
      <c r="J24" s="28"/>
      <c r="K24" s="1"/>
      <c r="L24" s="1"/>
      <c r="M24" s="1"/>
      <c r="N24" s="1"/>
      <c r="O24" s="1"/>
      <c r="P24" s="1"/>
      <c r="Q24" s="1"/>
      <c r="R24" s="1"/>
      <c r="S24" s="1"/>
      <c r="T24" s="1"/>
      <c r="U24" s="1"/>
      <c r="V24" s="1"/>
      <c r="W24" s="1"/>
      <c r="X24" s="1"/>
      <c r="Y24" s="1"/>
      <c r="Z24" s="27"/>
      <c r="AA24" s="27"/>
      <c r="AB24" s="27"/>
      <c r="AC24" s="27"/>
      <c r="AD24" s="43" t="s">
        <v>982</v>
      </c>
      <c r="AE24" s="43" t="s">
        <v>982</v>
      </c>
      <c r="AF24" s="43">
        <v>150</v>
      </c>
      <c r="AG24" s="43">
        <v>145.562</v>
      </c>
      <c r="AH24" s="43">
        <v>0</v>
      </c>
      <c r="AI24" s="43">
        <f t="shared" si="0"/>
        <v>145.562</v>
      </c>
      <c r="AJ24" s="1" t="s">
        <v>982</v>
      </c>
      <c r="AK24" s="1" t="s">
        <v>982</v>
      </c>
      <c r="AL24" s="1" t="s">
        <v>982</v>
      </c>
      <c r="AM24" s="443">
        <v>0</v>
      </c>
      <c r="AN24" s="443">
        <v>0</v>
      </c>
      <c r="AO24" s="443">
        <v>0</v>
      </c>
      <c r="AP24" s="457" t="str">
        <f t="shared" si="1"/>
        <v>NA</v>
      </c>
      <c r="AQ24" s="57" t="str">
        <f t="shared" si="2"/>
        <v>NA</v>
      </c>
      <c r="AR24" s="43" t="str">
        <f t="shared" si="3"/>
        <v>NA</v>
      </c>
      <c r="AS24" s="2"/>
    </row>
    <row r="25" spans="1:45" ht="63.75">
      <c r="A25" s="147" t="str">
        <f>"SDG&amp;E "&amp;19</f>
        <v>SDG&amp;E 19</v>
      </c>
      <c r="B25" s="33" t="s">
        <v>534</v>
      </c>
      <c r="C25" s="33" t="s">
        <v>530</v>
      </c>
      <c r="D25" s="40" t="s">
        <v>304</v>
      </c>
      <c r="E25" s="41" t="s">
        <v>305</v>
      </c>
      <c r="F25" s="27" t="s">
        <v>969</v>
      </c>
      <c r="G25" s="28"/>
      <c r="H25" s="29"/>
      <c r="I25" s="27"/>
      <c r="J25" s="28"/>
      <c r="K25" s="1"/>
      <c r="L25" s="1"/>
      <c r="M25" s="1"/>
      <c r="N25" s="1"/>
      <c r="O25" s="1"/>
      <c r="P25" s="1"/>
      <c r="Q25" s="1"/>
      <c r="R25" s="1"/>
      <c r="S25" s="1"/>
      <c r="T25" s="1"/>
      <c r="U25" s="1"/>
      <c r="V25" s="1"/>
      <c r="W25" s="1"/>
      <c r="X25" s="1"/>
      <c r="Y25" s="1"/>
      <c r="Z25" s="27"/>
      <c r="AA25" s="27"/>
      <c r="AB25" s="27"/>
      <c r="AC25" s="27"/>
      <c r="AD25" s="43" t="s">
        <v>982</v>
      </c>
      <c r="AE25" s="43" t="s">
        <v>982</v>
      </c>
      <c r="AF25" s="43">
        <v>297</v>
      </c>
      <c r="AG25" s="43">
        <v>360.414</v>
      </c>
      <c r="AH25" s="43">
        <v>0</v>
      </c>
      <c r="AI25" s="43">
        <f t="shared" si="0"/>
        <v>360.414</v>
      </c>
      <c r="AJ25" s="1" t="s">
        <v>982</v>
      </c>
      <c r="AK25" s="1" t="s">
        <v>982</v>
      </c>
      <c r="AL25" s="1" t="s">
        <v>982</v>
      </c>
      <c r="AM25" s="443">
        <v>0</v>
      </c>
      <c r="AN25" s="443">
        <v>0</v>
      </c>
      <c r="AO25" s="443">
        <v>0</v>
      </c>
      <c r="AP25" s="457" t="str">
        <f t="shared" si="1"/>
        <v>NA</v>
      </c>
      <c r="AQ25" s="57" t="str">
        <f t="shared" si="2"/>
        <v>NA</v>
      </c>
      <c r="AR25" s="43" t="str">
        <f t="shared" si="3"/>
        <v>NA</v>
      </c>
      <c r="AS25" s="2"/>
    </row>
    <row r="26" spans="1:45" ht="51">
      <c r="A26" s="147" t="str">
        <f>"SDG&amp;E "&amp;20</f>
        <v>SDG&amp;E 20</v>
      </c>
      <c r="B26" s="33" t="s">
        <v>535</v>
      </c>
      <c r="C26" s="33" t="s">
        <v>530</v>
      </c>
      <c r="D26" s="40" t="s">
        <v>306</v>
      </c>
      <c r="E26" s="41" t="s">
        <v>307</v>
      </c>
      <c r="F26" s="27" t="s">
        <v>969</v>
      </c>
      <c r="G26" s="28"/>
      <c r="H26" s="29"/>
      <c r="I26" s="27"/>
      <c r="J26" s="28"/>
      <c r="K26" s="1"/>
      <c r="L26" s="1"/>
      <c r="M26" s="1"/>
      <c r="N26" s="1"/>
      <c r="O26" s="1"/>
      <c r="P26" s="1"/>
      <c r="Q26" s="1"/>
      <c r="R26" s="1"/>
      <c r="S26" s="1"/>
      <c r="T26" s="1"/>
      <c r="U26" s="1"/>
      <c r="V26" s="1"/>
      <c r="W26" s="1"/>
      <c r="X26" s="1"/>
      <c r="Y26" s="1"/>
      <c r="Z26" s="27"/>
      <c r="AA26" s="27"/>
      <c r="AB26" s="27"/>
      <c r="AC26" s="27"/>
      <c r="AD26" s="43" t="s">
        <v>982</v>
      </c>
      <c r="AE26" s="43" t="s">
        <v>982</v>
      </c>
      <c r="AF26" s="43">
        <v>15</v>
      </c>
      <c r="AG26" s="43">
        <v>68.004</v>
      </c>
      <c r="AH26" s="43">
        <v>0</v>
      </c>
      <c r="AI26" s="43">
        <f t="shared" si="0"/>
        <v>68.004</v>
      </c>
      <c r="AJ26" s="1" t="s">
        <v>982</v>
      </c>
      <c r="AK26" s="1" t="s">
        <v>982</v>
      </c>
      <c r="AL26" s="1" t="s">
        <v>982</v>
      </c>
      <c r="AM26" s="443">
        <v>0</v>
      </c>
      <c r="AN26" s="443">
        <v>0</v>
      </c>
      <c r="AO26" s="443">
        <v>0</v>
      </c>
      <c r="AP26" s="457" t="str">
        <f t="shared" si="1"/>
        <v>NA</v>
      </c>
      <c r="AQ26" s="57" t="str">
        <f t="shared" si="2"/>
        <v>NA</v>
      </c>
      <c r="AR26" s="43" t="str">
        <f t="shared" si="3"/>
        <v>NA</v>
      </c>
      <c r="AS26" s="2"/>
    </row>
    <row r="27" spans="1:45" ht="178.5">
      <c r="A27" s="147" t="str">
        <f>"SDG&amp;E "&amp;21</f>
        <v>SDG&amp;E 21</v>
      </c>
      <c r="B27" s="33" t="s">
        <v>536</v>
      </c>
      <c r="C27" s="33" t="s">
        <v>530</v>
      </c>
      <c r="D27" s="40" t="s">
        <v>308</v>
      </c>
      <c r="E27" s="41" t="s">
        <v>309</v>
      </c>
      <c r="F27" s="27" t="s">
        <v>969</v>
      </c>
      <c r="G27" s="28"/>
      <c r="H27" s="29"/>
      <c r="I27" s="27"/>
      <c r="J27" s="28"/>
      <c r="K27" s="1"/>
      <c r="L27" s="1"/>
      <c r="M27" s="1"/>
      <c r="N27" s="1"/>
      <c r="O27" s="1"/>
      <c r="P27" s="1"/>
      <c r="Q27" s="1"/>
      <c r="R27" s="1"/>
      <c r="S27" s="1"/>
      <c r="T27" s="1"/>
      <c r="U27" s="1"/>
      <c r="V27" s="1"/>
      <c r="W27" s="1"/>
      <c r="X27" s="1"/>
      <c r="Y27" s="1"/>
      <c r="Z27" s="27"/>
      <c r="AA27" s="27"/>
      <c r="AB27" s="27"/>
      <c r="AC27" s="27"/>
      <c r="AD27" s="43" t="s">
        <v>982</v>
      </c>
      <c r="AE27" s="43" t="s">
        <v>982</v>
      </c>
      <c r="AF27" s="43">
        <v>25</v>
      </c>
      <c r="AG27" s="43">
        <v>0</v>
      </c>
      <c r="AH27" s="43">
        <v>0</v>
      </c>
      <c r="AI27" s="43">
        <f t="shared" si="0"/>
        <v>0</v>
      </c>
      <c r="AJ27" s="1" t="s">
        <v>982</v>
      </c>
      <c r="AK27" s="1" t="s">
        <v>982</v>
      </c>
      <c r="AL27" s="1" t="s">
        <v>982</v>
      </c>
      <c r="AM27" s="443">
        <v>0</v>
      </c>
      <c r="AN27" s="443">
        <v>0</v>
      </c>
      <c r="AO27" s="443">
        <v>0</v>
      </c>
      <c r="AP27" s="457" t="str">
        <f t="shared" si="1"/>
        <v>NA</v>
      </c>
      <c r="AQ27" s="57" t="str">
        <f t="shared" si="2"/>
        <v>NA</v>
      </c>
      <c r="AR27" s="43" t="str">
        <f t="shared" si="3"/>
        <v>NA</v>
      </c>
      <c r="AS27" s="2"/>
    </row>
    <row r="28" spans="1:45" ht="76.5">
      <c r="A28" s="147" t="str">
        <f>"SDG&amp;E "&amp;22</f>
        <v>SDG&amp;E 22</v>
      </c>
      <c r="B28" s="33" t="s">
        <v>771</v>
      </c>
      <c r="C28" s="33" t="s">
        <v>530</v>
      </c>
      <c r="D28" s="40" t="s">
        <v>311</v>
      </c>
      <c r="E28" s="41" t="s">
        <v>310</v>
      </c>
      <c r="F28" s="27" t="s">
        <v>969</v>
      </c>
      <c r="G28" s="28"/>
      <c r="H28" s="29"/>
      <c r="I28" s="27"/>
      <c r="J28" s="28"/>
      <c r="K28" s="1"/>
      <c r="L28" s="1"/>
      <c r="M28" s="1"/>
      <c r="N28" s="1"/>
      <c r="O28" s="1"/>
      <c r="P28" s="1"/>
      <c r="Q28" s="1"/>
      <c r="R28" s="1"/>
      <c r="S28" s="1"/>
      <c r="T28" s="1"/>
      <c r="U28" s="1"/>
      <c r="V28" s="1"/>
      <c r="W28" s="1"/>
      <c r="X28" s="1"/>
      <c r="Y28" s="1"/>
      <c r="Z28" s="27"/>
      <c r="AA28" s="27"/>
      <c r="AB28" s="27"/>
      <c r="AC28" s="27"/>
      <c r="AD28" s="43" t="s">
        <v>982</v>
      </c>
      <c r="AE28" s="43" t="s">
        <v>982</v>
      </c>
      <c r="AF28" s="43">
        <f>25+75</f>
        <v>100</v>
      </c>
      <c r="AG28" s="43">
        <v>83.861</v>
      </c>
      <c r="AH28" s="43">
        <v>0</v>
      </c>
      <c r="AI28" s="43">
        <f t="shared" si="0"/>
        <v>83.861</v>
      </c>
      <c r="AJ28" s="1" t="s">
        <v>982</v>
      </c>
      <c r="AK28" s="1" t="s">
        <v>982</v>
      </c>
      <c r="AL28" s="1" t="s">
        <v>982</v>
      </c>
      <c r="AM28" s="443">
        <v>0</v>
      </c>
      <c r="AN28" s="443">
        <v>0</v>
      </c>
      <c r="AO28" s="443">
        <v>0</v>
      </c>
      <c r="AP28" s="457" t="str">
        <f t="shared" si="1"/>
        <v>NA</v>
      </c>
      <c r="AQ28" s="57" t="str">
        <f t="shared" si="2"/>
        <v>NA</v>
      </c>
      <c r="AR28" s="43" t="str">
        <f t="shared" si="3"/>
        <v>NA</v>
      </c>
      <c r="AS28" s="2" t="s">
        <v>312</v>
      </c>
    </row>
    <row r="29" spans="1:45" ht="76.5">
      <c r="A29" s="147" t="str">
        <f>"SDG&amp;E "&amp;23</f>
        <v>SDG&amp;E 23</v>
      </c>
      <c r="B29" s="33" t="s">
        <v>538</v>
      </c>
      <c r="C29" s="33" t="s">
        <v>537</v>
      </c>
      <c r="D29" s="40" t="s">
        <v>436</v>
      </c>
      <c r="E29" s="41" t="s">
        <v>861</v>
      </c>
      <c r="F29" s="27" t="s">
        <v>969</v>
      </c>
      <c r="G29" s="28"/>
      <c r="H29" s="29"/>
      <c r="I29" s="27"/>
      <c r="J29" s="28"/>
      <c r="K29" s="1"/>
      <c r="L29" s="1"/>
      <c r="M29" s="1"/>
      <c r="N29" s="1"/>
      <c r="O29" s="1"/>
      <c r="P29" s="1"/>
      <c r="Q29" s="1"/>
      <c r="R29" s="1"/>
      <c r="S29" s="1"/>
      <c r="T29" s="1"/>
      <c r="U29" s="1"/>
      <c r="V29" s="1"/>
      <c r="W29" s="1"/>
      <c r="X29" s="1"/>
      <c r="Y29" s="1"/>
      <c r="Z29" s="27"/>
      <c r="AA29" s="27"/>
      <c r="AB29" s="27"/>
      <c r="AC29" s="27"/>
      <c r="AD29" s="43" t="s">
        <v>982</v>
      </c>
      <c r="AE29" s="43" t="s">
        <v>982</v>
      </c>
      <c r="AF29" s="43">
        <v>550</v>
      </c>
      <c r="AG29" s="43">
        <v>555.54</v>
      </c>
      <c r="AH29" s="43">
        <v>0</v>
      </c>
      <c r="AI29" s="43">
        <f t="shared" si="0"/>
        <v>555.54</v>
      </c>
      <c r="AJ29" s="1" t="s">
        <v>982</v>
      </c>
      <c r="AK29" s="1" t="s">
        <v>982</v>
      </c>
      <c r="AL29" s="1" t="s">
        <v>982</v>
      </c>
      <c r="AM29" s="443">
        <v>0</v>
      </c>
      <c r="AN29" s="443">
        <v>0</v>
      </c>
      <c r="AO29" s="443">
        <v>0</v>
      </c>
      <c r="AP29" s="457" t="str">
        <f t="shared" si="1"/>
        <v>NA</v>
      </c>
      <c r="AQ29" s="57" t="str">
        <f t="shared" si="2"/>
        <v>NA</v>
      </c>
      <c r="AR29" s="43" t="str">
        <f t="shared" si="3"/>
        <v>NA</v>
      </c>
      <c r="AS29" s="2"/>
    </row>
    <row r="30" spans="1:45" ht="89.25">
      <c r="A30" s="147" t="str">
        <f>"SDG&amp;E "&amp;24</f>
        <v>SDG&amp;E 24</v>
      </c>
      <c r="B30" s="33" t="s">
        <v>541</v>
      </c>
      <c r="C30" s="33" t="s">
        <v>539</v>
      </c>
      <c r="D30" s="40" t="s">
        <v>437</v>
      </c>
      <c r="E30" s="41" t="s">
        <v>438</v>
      </c>
      <c r="F30" s="27" t="s">
        <v>969</v>
      </c>
      <c r="G30" s="28"/>
      <c r="H30" s="29"/>
      <c r="I30" s="27"/>
      <c r="J30" s="28"/>
      <c r="K30" s="1"/>
      <c r="L30" s="1"/>
      <c r="M30" s="1"/>
      <c r="N30" s="1"/>
      <c r="O30" s="1"/>
      <c r="P30" s="1"/>
      <c r="Q30" s="1"/>
      <c r="R30" s="1"/>
      <c r="S30" s="1"/>
      <c r="T30" s="1"/>
      <c r="U30" s="1"/>
      <c r="V30" s="1"/>
      <c r="W30" s="1"/>
      <c r="X30" s="1"/>
      <c r="Y30" s="1"/>
      <c r="Z30" s="27"/>
      <c r="AA30" s="27"/>
      <c r="AB30" s="27"/>
      <c r="AC30" s="27"/>
      <c r="AD30" s="43" t="s">
        <v>982</v>
      </c>
      <c r="AE30" s="43" t="s">
        <v>982</v>
      </c>
      <c r="AF30" s="43">
        <v>100</v>
      </c>
      <c r="AG30" s="43">
        <v>28.523</v>
      </c>
      <c r="AH30" s="43">
        <v>51</v>
      </c>
      <c r="AI30" s="43">
        <f t="shared" si="0"/>
        <v>79.523</v>
      </c>
      <c r="AJ30" s="1" t="s">
        <v>982</v>
      </c>
      <c r="AK30" s="1" t="s">
        <v>982</v>
      </c>
      <c r="AL30" s="1" t="s">
        <v>982</v>
      </c>
      <c r="AM30" s="443">
        <v>0</v>
      </c>
      <c r="AN30" s="443">
        <v>0</v>
      </c>
      <c r="AO30" s="443">
        <v>0</v>
      </c>
      <c r="AP30" s="457" t="str">
        <f t="shared" si="1"/>
        <v>NA</v>
      </c>
      <c r="AQ30" s="57" t="str">
        <f t="shared" si="2"/>
        <v>NA</v>
      </c>
      <c r="AR30" s="43" t="str">
        <f t="shared" si="3"/>
        <v>NA</v>
      </c>
      <c r="AS30" s="2"/>
    </row>
    <row r="31" spans="1:45" ht="102">
      <c r="A31" s="147" t="str">
        <f>"SDG&amp;E "&amp;25</f>
        <v>SDG&amp;E 25</v>
      </c>
      <c r="B31" s="33" t="s">
        <v>542</v>
      </c>
      <c r="C31" s="33" t="s">
        <v>539</v>
      </c>
      <c r="D31" s="40" t="s">
        <v>439</v>
      </c>
      <c r="E31" s="41" t="s">
        <v>459</v>
      </c>
      <c r="F31" s="27" t="s">
        <v>969</v>
      </c>
      <c r="G31" s="28"/>
      <c r="H31" s="29"/>
      <c r="I31" s="27"/>
      <c r="J31" s="28"/>
      <c r="K31" s="1"/>
      <c r="L31" s="1"/>
      <c r="M31" s="1"/>
      <c r="N31" s="1"/>
      <c r="O31" s="1"/>
      <c r="P31" s="1"/>
      <c r="Q31" s="1"/>
      <c r="R31" s="1"/>
      <c r="S31" s="1"/>
      <c r="T31" s="1"/>
      <c r="U31" s="1"/>
      <c r="V31" s="1"/>
      <c r="W31" s="1"/>
      <c r="X31" s="1"/>
      <c r="Y31" s="1"/>
      <c r="Z31" s="27"/>
      <c r="AA31" s="27"/>
      <c r="AB31" s="27"/>
      <c r="AC31" s="27"/>
      <c r="AD31" s="43" t="s">
        <v>982</v>
      </c>
      <c r="AE31" s="43" t="s">
        <v>982</v>
      </c>
      <c r="AF31" s="43">
        <v>1300</v>
      </c>
      <c r="AG31" s="43">
        <v>117.502</v>
      </c>
      <c r="AH31" s="43">
        <v>1113</v>
      </c>
      <c r="AI31" s="43">
        <f t="shared" si="0"/>
        <v>1230.502</v>
      </c>
      <c r="AJ31" s="1" t="s">
        <v>982</v>
      </c>
      <c r="AK31" s="1" t="s">
        <v>982</v>
      </c>
      <c r="AL31" s="1" t="s">
        <v>982</v>
      </c>
      <c r="AM31" s="57">
        <v>7646</v>
      </c>
      <c r="AN31" s="1">
        <v>1.42</v>
      </c>
      <c r="AO31" s="1">
        <v>80</v>
      </c>
      <c r="AP31" s="457">
        <f t="shared" si="1"/>
        <v>0.1609340831807481</v>
      </c>
      <c r="AQ31" s="57">
        <f t="shared" si="2"/>
        <v>866.5507042253521</v>
      </c>
      <c r="AR31" s="43">
        <f t="shared" si="3"/>
        <v>15.381274999999999</v>
      </c>
      <c r="AS31" s="2"/>
    </row>
    <row r="32" spans="1:45" ht="89.25">
      <c r="A32" s="147" t="str">
        <f>"SDG&amp;E "&amp;26</f>
        <v>SDG&amp;E 26</v>
      </c>
      <c r="B32" s="33" t="s">
        <v>512</v>
      </c>
      <c r="C32" s="33" t="s">
        <v>540</v>
      </c>
      <c r="D32" s="40" t="s">
        <v>460</v>
      </c>
      <c r="E32" s="41" t="s">
        <v>461</v>
      </c>
      <c r="F32" s="27" t="s">
        <v>969</v>
      </c>
      <c r="G32" s="28"/>
      <c r="H32" s="29"/>
      <c r="I32" s="27"/>
      <c r="J32" s="28"/>
      <c r="K32" s="1"/>
      <c r="L32" s="1"/>
      <c r="M32" s="1"/>
      <c r="N32" s="1"/>
      <c r="O32" s="1"/>
      <c r="P32" s="1"/>
      <c r="Q32" s="1"/>
      <c r="R32" s="1"/>
      <c r="S32" s="1"/>
      <c r="T32" s="1"/>
      <c r="U32" s="1"/>
      <c r="V32" s="1"/>
      <c r="W32" s="1"/>
      <c r="X32" s="1"/>
      <c r="Y32" s="1"/>
      <c r="Z32" s="27"/>
      <c r="AA32" s="27"/>
      <c r="AB32" s="27"/>
      <c r="AC32" s="27"/>
      <c r="AD32" s="43" t="s">
        <v>982</v>
      </c>
      <c r="AE32" s="43" t="s">
        <v>982</v>
      </c>
      <c r="AF32" s="43">
        <v>855</v>
      </c>
      <c r="AG32" s="43">
        <f>454.565+9.466</f>
        <v>464.031</v>
      </c>
      <c r="AH32" s="43">
        <f>202.846+189.311</f>
        <v>392.15700000000004</v>
      </c>
      <c r="AI32" s="43">
        <f t="shared" si="0"/>
        <v>856.1880000000001</v>
      </c>
      <c r="AJ32" s="1" t="s">
        <v>982</v>
      </c>
      <c r="AK32" s="1" t="s">
        <v>982</v>
      </c>
      <c r="AL32" s="1" t="s">
        <v>982</v>
      </c>
      <c r="AM32" s="57">
        <v>5092</v>
      </c>
      <c r="AN32" s="1">
        <v>1.14</v>
      </c>
      <c r="AO32" s="1">
        <v>20.466</v>
      </c>
      <c r="AP32" s="457">
        <f t="shared" si="1"/>
        <v>0.16814375490966224</v>
      </c>
      <c r="AQ32" s="57">
        <f t="shared" si="2"/>
        <v>751.0421052631581</v>
      </c>
      <c r="AR32" s="43">
        <f t="shared" si="3"/>
        <v>41.83465259454706</v>
      </c>
      <c r="AS32" s="2"/>
    </row>
    <row r="33" spans="1:45" ht="140.25">
      <c r="A33" s="147" t="str">
        <f>"SDG&amp;E "&amp;27</f>
        <v>SDG&amp;E 27</v>
      </c>
      <c r="B33" s="33" t="s">
        <v>543</v>
      </c>
      <c r="C33" s="33" t="s">
        <v>540</v>
      </c>
      <c r="D33" s="40" t="s">
        <v>862</v>
      </c>
      <c r="E33" s="41" t="s">
        <v>463</v>
      </c>
      <c r="F33" s="27" t="s">
        <v>969</v>
      </c>
      <c r="G33" s="28"/>
      <c r="H33" s="29"/>
      <c r="I33" s="27"/>
      <c r="J33" s="28"/>
      <c r="K33" s="1"/>
      <c r="L33" s="1"/>
      <c r="M33" s="1"/>
      <c r="N33" s="1"/>
      <c r="O33" s="1"/>
      <c r="P33" s="1"/>
      <c r="Q33" s="1"/>
      <c r="R33" s="1"/>
      <c r="S33" s="1"/>
      <c r="T33" s="1"/>
      <c r="U33" s="1"/>
      <c r="V33" s="1"/>
      <c r="W33" s="1"/>
      <c r="X33" s="1"/>
      <c r="Y33" s="1"/>
      <c r="Z33" s="27"/>
      <c r="AA33" s="27"/>
      <c r="AB33" s="27"/>
      <c r="AC33" s="27"/>
      <c r="AD33" s="43" t="s">
        <v>982</v>
      </c>
      <c r="AE33" s="43" t="s">
        <v>982</v>
      </c>
      <c r="AF33" s="43">
        <v>2102</v>
      </c>
      <c r="AG33" s="43">
        <v>542.073</v>
      </c>
      <c r="AH33" s="43">
        <v>1855.875</v>
      </c>
      <c r="AI33" s="43">
        <f t="shared" si="0"/>
        <v>2397.948</v>
      </c>
      <c r="AJ33" s="1" t="s">
        <v>982</v>
      </c>
      <c r="AK33" s="1" t="s">
        <v>982</v>
      </c>
      <c r="AL33" s="1" t="s">
        <v>982</v>
      </c>
      <c r="AM33" s="57">
        <v>29956</v>
      </c>
      <c r="AN33" s="1">
        <v>6.04</v>
      </c>
      <c r="AO33" s="1">
        <v>127.261</v>
      </c>
      <c r="AP33" s="457">
        <f t="shared" si="1"/>
        <v>0.08004900520763786</v>
      </c>
      <c r="AQ33" s="57">
        <f t="shared" si="2"/>
        <v>397.01125827814565</v>
      </c>
      <c r="AR33" s="43">
        <f t="shared" si="3"/>
        <v>18.842756225395053</v>
      </c>
      <c r="AS33" s="2" t="s">
        <v>462</v>
      </c>
    </row>
    <row r="34" spans="1:45" ht="102">
      <c r="A34" s="147" t="str">
        <f>"SDG&amp;E "&amp;28</f>
        <v>SDG&amp;E 28</v>
      </c>
      <c r="B34" s="33" t="s">
        <v>544</v>
      </c>
      <c r="C34" s="33" t="s">
        <v>540</v>
      </c>
      <c r="D34" s="40" t="s">
        <v>464</v>
      </c>
      <c r="E34" s="41" t="s">
        <v>440</v>
      </c>
      <c r="F34" s="27" t="s">
        <v>969</v>
      </c>
      <c r="G34" s="28"/>
      <c r="H34" s="29"/>
      <c r="I34" s="27"/>
      <c r="J34" s="28"/>
      <c r="K34" s="1"/>
      <c r="L34" s="1"/>
      <c r="M34" s="1"/>
      <c r="N34" s="1"/>
      <c r="O34" s="1"/>
      <c r="P34" s="1"/>
      <c r="Q34" s="1"/>
      <c r="R34" s="1"/>
      <c r="S34" s="1"/>
      <c r="T34" s="1"/>
      <c r="U34" s="1"/>
      <c r="V34" s="1"/>
      <c r="W34" s="1"/>
      <c r="X34" s="1"/>
      <c r="Y34" s="1"/>
      <c r="Z34" s="27"/>
      <c r="AA34" s="27"/>
      <c r="AB34" s="27"/>
      <c r="AC34" s="27"/>
      <c r="AD34" s="43" t="s">
        <v>982</v>
      </c>
      <c r="AE34" s="43" t="s">
        <v>982</v>
      </c>
      <c r="AF34" s="43">
        <v>250</v>
      </c>
      <c r="AG34" s="43">
        <v>82.656</v>
      </c>
      <c r="AH34" s="43">
        <v>206.85</v>
      </c>
      <c r="AI34" s="43">
        <f t="shared" si="0"/>
        <v>289.506</v>
      </c>
      <c r="AJ34" s="1" t="s">
        <v>982</v>
      </c>
      <c r="AK34" s="1" t="s">
        <v>982</v>
      </c>
      <c r="AL34" s="1" t="s">
        <v>982</v>
      </c>
      <c r="AM34" s="57">
        <v>168</v>
      </c>
      <c r="AN34" s="1" t="s">
        <v>982</v>
      </c>
      <c r="AO34" s="1">
        <v>200.52</v>
      </c>
      <c r="AP34" s="457">
        <f t="shared" si="1"/>
        <v>1.7232499999999997</v>
      </c>
      <c r="AQ34" s="57" t="s">
        <v>982</v>
      </c>
      <c r="AR34" s="43">
        <f t="shared" si="3"/>
        <v>1.4437761819269896</v>
      </c>
      <c r="AS34" s="2" t="s">
        <v>441</v>
      </c>
    </row>
    <row r="35" spans="1:45" ht="76.5">
      <c r="A35" s="147" t="str">
        <f>"SDG&amp;E "&amp;29</f>
        <v>SDG&amp;E 29</v>
      </c>
      <c r="B35" s="33" t="s">
        <v>545</v>
      </c>
      <c r="C35" s="33" t="s">
        <v>540</v>
      </c>
      <c r="D35" s="40" t="s">
        <v>442</v>
      </c>
      <c r="E35" s="41" t="s">
        <v>443</v>
      </c>
      <c r="F35" s="27" t="s">
        <v>969</v>
      </c>
      <c r="G35" s="28"/>
      <c r="H35" s="29"/>
      <c r="I35" s="27"/>
      <c r="J35" s="28"/>
      <c r="K35" s="1"/>
      <c r="L35" s="1"/>
      <c r="M35" s="1"/>
      <c r="N35" s="1"/>
      <c r="O35" s="1"/>
      <c r="P35" s="1"/>
      <c r="Q35" s="1"/>
      <c r="R35" s="1"/>
      <c r="S35" s="1"/>
      <c r="T35" s="1"/>
      <c r="U35" s="1"/>
      <c r="V35" s="1"/>
      <c r="W35" s="1"/>
      <c r="X35" s="1"/>
      <c r="Y35" s="1"/>
      <c r="Z35" s="27"/>
      <c r="AA35" s="27"/>
      <c r="AB35" s="27"/>
      <c r="AC35" s="27"/>
      <c r="AD35" s="43" t="s">
        <v>982</v>
      </c>
      <c r="AE35" s="43" t="s">
        <v>982</v>
      </c>
      <c r="AF35" s="43">
        <v>650</v>
      </c>
      <c r="AG35" s="43">
        <v>219.703</v>
      </c>
      <c r="AH35" s="43">
        <v>427.672</v>
      </c>
      <c r="AI35" s="43">
        <f t="shared" si="0"/>
        <v>647.375</v>
      </c>
      <c r="AJ35" s="1" t="s">
        <v>982</v>
      </c>
      <c r="AK35" s="1" t="s">
        <v>982</v>
      </c>
      <c r="AL35" s="1" t="s">
        <v>982</v>
      </c>
      <c r="AM35" s="57">
        <v>1743</v>
      </c>
      <c r="AN35" s="1">
        <v>0.41</v>
      </c>
      <c r="AO35" s="1" t="s">
        <v>982</v>
      </c>
      <c r="AP35" s="457">
        <f t="shared" si="1"/>
        <v>0.3714142283419392</v>
      </c>
      <c r="AQ35" s="57">
        <f t="shared" si="2"/>
        <v>1578.9634146341464</v>
      </c>
      <c r="AR35" s="43" t="e">
        <f t="shared" si="3"/>
        <v>#VALUE!</v>
      </c>
      <c r="AS35" s="2"/>
    </row>
    <row r="36" spans="1:45" ht="140.25">
      <c r="A36" s="147" t="str">
        <f>"SDG&amp;E "&amp;30</f>
        <v>SDG&amp;E 30</v>
      </c>
      <c r="B36" s="33" t="s">
        <v>546</v>
      </c>
      <c r="C36" s="33" t="s">
        <v>1076</v>
      </c>
      <c r="D36" s="40" t="s">
        <v>445</v>
      </c>
      <c r="E36" s="41" t="s">
        <v>444</v>
      </c>
      <c r="F36" s="27" t="s">
        <v>969</v>
      </c>
      <c r="G36" s="28"/>
      <c r="H36" s="29"/>
      <c r="I36" s="27"/>
      <c r="J36" s="28"/>
      <c r="K36" s="1"/>
      <c r="L36" s="1"/>
      <c r="M36" s="1"/>
      <c r="N36" s="1"/>
      <c r="O36" s="1"/>
      <c r="P36" s="1"/>
      <c r="Q36" s="1"/>
      <c r="R36" s="1"/>
      <c r="S36" s="1"/>
      <c r="T36" s="1"/>
      <c r="U36" s="1"/>
      <c r="V36" s="1"/>
      <c r="W36" s="1"/>
      <c r="X36" s="1"/>
      <c r="Y36" s="1"/>
      <c r="Z36" s="27"/>
      <c r="AA36" s="27"/>
      <c r="AB36" s="27"/>
      <c r="AC36" s="27"/>
      <c r="AD36" s="43" t="s">
        <v>982</v>
      </c>
      <c r="AE36" s="43" t="s">
        <v>982</v>
      </c>
      <c r="AF36" s="43">
        <v>5735</v>
      </c>
      <c r="AG36" s="43">
        <f>848.725+168.677</f>
        <v>1017.402</v>
      </c>
      <c r="AH36" s="43">
        <f>1167.761+3373.541</f>
        <v>4541.302</v>
      </c>
      <c r="AI36" s="43">
        <f t="shared" si="0"/>
        <v>5558.704</v>
      </c>
      <c r="AJ36" s="1" t="s">
        <v>982</v>
      </c>
      <c r="AK36" s="1" t="s">
        <v>982</v>
      </c>
      <c r="AL36" s="1" t="s">
        <v>982</v>
      </c>
      <c r="AM36" s="57">
        <v>18421</v>
      </c>
      <c r="AN36" s="1">
        <v>2.23</v>
      </c>
      <c r="AO36" s="1">
        <v>172.791</v>
      </c>
      <c r="AP36" s="457">
        <f t="shared" si="1"/>
        <v>0.3017590793116552</v>
      </c>
      <c r="AQ36" s="57">
        <f t="shared" si="2"/>
        <v>2492.6923766816144</v>
      </c>
      <c r="AR36" s="43">
        <f t="shared" si="3"/>
        <v>32.17010145204322</v>
      </c>
      <c r="AS36" s="2"/>
    </row>
    <row r="37" spans="1:45" ht="165.75">
      <c r="A37" s="147" t="str">
        <f>"SDG&amp;E "&amp;31</f>
        <v>SDG&amp;E 31</v>
      </c>
      <c r="B37" s="33" t="s">
        <v>547</v>
      </c>
      <c r="C37" s="33" t="s">
        <v>1076</v>
      </c>
      <c r="D37" s="40" t="s">
        <v>446</v>
      </c>
      <c r="E37" s="41" t="s">
        <v>447</v>
      </c>
      <c r="F37" s="27" t="s">
        <v>969</v>
      </c>
      <c r="G37" s="28"/>
      <c r="H37" s="29"/>
      <c r="I37" s="27"/>
      <c r="J37" s="28"/>
      <c r="K37" s="1"/>
      <c r="L37" s="1"/>
      <c r="M37" s="1"/>
      <c r="N37" s="1"/>
      <c r="O37" s="1"/>
      <c r="P37" s="1"/>
      <c r="Q37" s="1"/>
      <c r="R37" s="1"/>
      <c r="S37" s="1"/>
      <c r="T37" s="1"/>
      <c r="U37" s="1"/>
      <c r="V37" s="1"/>
      <c r="W37" s="1"/>
      <c r="X37" s="1"/>
      <c r="Y37" s="1"/>
      <c r="Z37" s="27"/>
      <c r="AA37" s="27"/>
      <c r="AB37" s="27"/>
      <c r="AC37" s="27"/>
      <c r="AD37" s="43" t="s">
        <v>982</v>
      </c>
      <c r="AE37" s="43" t="s">
        <v>982</v>
      </c>
      <c r="AF37" s="43">
        <v>1385</v>
      </c>
      <c r="AG37" s="43">
        <f>358.154+23.892</f>
        <v>382.046</v>
      </c>
      <c r="AH37" s="43">
        <f>585.517+477.84</f>
        <v>1063.357</v>
      </c>
      <c r="AI37" s="43">
        <f t="shared" si="0"/>
        <v>1445.403</v>
      </c>
      <c r="AJ37" s="1" t="s">
        <v>982</v>
      </c>
      <c r="AK37" s="1" t="s">
        <v>982</v>
      </c>
      <c r="AL37" s="1" t="s">
        <v>982</v>
      </c>
      <c r="AM37" s="57">
        <v>6600</v>
      </c>
      <c r="AN37" s="1">
        <v>1.29</v>
      </c>
      <c r="AO37" s="1">
        <v>119.27</v>
      </c>
      <c r="AP37" s="457">
        <f t="shared" si="1"/>
        <v>0.21900045454545455</v>
      </c>
      <c r="AQ37" s="57">
        <f t="shared" si="2"/>
        <v>1120.467441860465</v>
      </c>
      <c r="AR37" s="43">
        <f t="shared" si="3"/>
        <v>12.118747379894359</v>
      </c>
      <c r="AS37" s="2"/>
    </row>
    <row r="38" spans="1:45" ht="102">
      <c r="A38" s="147" t="str">
        <f>"SDG&amp;E "&amp;32</f>
        <v>SDG&amp;E 32</v>
      </c>
      <c r="B38" s="33" t="s">
        <v>549</v>
      </c>
      <c r="C38" s="33" t="s">
        <v>548</v>
      </c>
      <c r="D38" s="40" t="s">
        <v>448</v>
      </c>
      <c r="E38" s="41" t="s">
        <v>449</v>
      </c>
      <c r="F38" s="27" t="s">
        <v>969</v>
      </c>
      <c r="G38" s="28"/>
      <c r="H38" s="29"/>
      <c r="I38" s="27"/>
      <c r="J38" s="28"/>
      <c r="K38" s="1"/>
      <c r="L38" s="1"/>
      <c r="M38" s="1"/>
      <c r="N38" s="1"/>
      <c r="O38" s="1"/>
      <c r="P38" s="1"/>
      <c r="Q38" s="1"/>
      <c r="R38" s="1"/>
      <c r="S38" s="1"/>
      <c r="T38" s="1"/>
      <c r="U38" s="1"/>
      <c r="V38" s="1"/>
      <c r="W38" s="1"/>
      <c r="X38" s="1"/>
      <c r="Y38" s="1"/>
      <c r="Z38" s="27"/>
      <c r="AA38" s="27"/>
      <c r="AB38" s="27"/>
      <c r="AC38" s="27"/>
      <c r="AD38" s="43" t="s">
        <v>982</v>
      </c>
      <c r="AE38" s="43" t="s">
        <v>982</v>
      </c>
      <c r="AF38" s="43">
        <v>270</v>
      </c>
      <c r="AG38" s="43">
        <v>202.532</v>
      </c>
      <c r="AH38" s="43">
        <v>0</v>
      </c>
      <c r="AI38" s="43">
        <f t="shared" si="0"/>
        <v>202.532</v>
      </c>
      <c r="AJ38" s="1" t="s">
        <v>982</v>
      </c>
      <c r="AK38" s="1" t="s">
        <v>982</v>
      </c>
      <c r="AL38" s="1" t="s">
        <v>982</v>
      </c>
      <c r="AM38" s="57">
        <v>502</v>
      </c>
      <c r="AN38" s="1" t="s">
        <v>982</v>
      </c>
      <c r="AO38" s="1" t="s">
        <v>982</v>
      </c>
      <c r="AP38" s="457">
        <f t="shared" si="1"/>
        <v>0.40345019920318725</v>
      </c>
      <c r="AQ38" s="57" t="s">
        <v>982</v>
      </c>
      <c r="AR38" s="43" t="s">
        <v>982</v>
      </c>
      <c r="AS38" s="2"/>
    </row>
    <row r="39" spans="1:45" ht="63.75">
      <c r="A39" s="147" t="str">
        <f>"SDG&amp;E "&amp;33</f>
        <v>SDG&amp;E 33</v>
      </c>
      <c r="B39" s="33" t="s">
        <v>550</v>
      </c>
      <c r="C39" s="33" t="s">
        <v>548</v>
      </c>
      <c r="D39" s="40" t="s">
        <v>450</v>
      </c>
      <c r="E39" s="41" t="s">
        <v>451</v>
      </c>
      <c r="F39" s="27" t="s">
        <v>969</v>
      </c>
      <c r="G39" s="28"/>
      <c r="H39" s="29"/>
      <c r="I39" s="27"/>
      <c r="J39" s="28"/>
      <c r="K39" s="1"/>
      <c r="L39" s="1"/>
      <c r="M39" s="1"/>
      <c r="N39" s="1"/>
      <c r="O39" s="1"/>
      <c r="P39" s="1"/>
      <c r="Q39" s="1"/>
      <c r="R39" s="1"/>
      <c r="S39" s="1"/>
      <c r="T39" s="1"/>
      <c r="U39" s="1"/>
      <c r="V39" s="1"/>
      <c r="W39" s="1"/>
      <c r="X39" s="1"/>
      <c r="Y39" s="1"/>
      <c r="Z39" s="27"/>
      <c r="AA39" s="27"/>
      <c r="AB39" s="27"/>
      <c r="AC39" s="27"/>
      <c r="AD39" s="43" t="s">
        <v>982</v>
      </c>
      <c r="AE39" s="43" t="s">
        <v>982</v>
      </c>
      <c r="AF39" s="43">
        <v>485</v>
      </c>
      <c r="AG39" s="43">
        <v>34.336</v>
      </c>
      <c r="AH39" s="43">
        <v>83.913</v>
      </c>
      <c r="AI39" s="43">
        <f t="shared" si="0"/>
        <v>118.249</v>
      </c>
      <c r="AJ39" s="1" t="s">
        <v>982</v>
      </c>
      <c r="AK39" s="1" t="s">
        <v>982</v>
      </c>
      <c r="AL39" s="1" t="s">
        <v>982</v>
      </c>
      <c r="AM39" s="57">
        <v>402</v>
      </c>
      <c r="AN39" s="1">
        <v>0.09</v>
      </c>
      <c r="AO39" s="1" t="s">
        <v>982</v>
      </c>
      <c r="AP39" s="457">
        <f t="shared" si="1"/>
        <v>0.29415174129353233</v>
      </c>
      <c r="AQ39" s="57">
        <f t="shared" si="2"/>
        <v>1313.8777777777777</v>
      </c>
      <c r="AR39" s="43" t="e">
        <f t="shared" si="3"/>
        <v>#VALUE!</v>
      </c>
      <c r="AS39" s="2"/>
    </row>
    <row r="40" spans="1:45" ht="51">
      <c r="A40" s="147" t="str">
        <f>"SDG&amp;E "&amp;34</f>
        <v>SDG&amp;E 34</v>
      </c>
      <c r="B40" s="33" t="s">
        <v>551</v>
      </c>
      <c r="C40" s="33" t="s">
        <v>548</v>
      </c>
      <c r="D40" s="40" t="s">
        <v>452</v>
      </c>
      <c r="E40" s="41" t="s">
        <v>453</v>
      </c>
      <c r="F40" s="27" t="s">
        <v>969</v>
      </c>
      <c r="G40" s="28"/>
      <c r="H40" s="29"/>
      <c r="I40" s="27"/>
      <c r="J40" s="28"/>
      <c r="K40" s="1"/>
      <c r="L40" s="1"/>
      <c r="M40" s="1"/>
      <c r="N40" s="1"/>
      <c r="O40" s="1"/>
      <c r="P40" s="1"/>
      <c r="Q40" s="1"/>
      <c r="R40" s="1"/>
      <c r="S40" s="1"/>
      <c r="T40" s="1"/>
      <c r="U40" s="1"/>
      <c r="V40" s="1"/>
      <c r="W40" s="1"/>
      <c r="X40" s="1"/>
      <c r="Y40" s="1"/>
      <c r="Z40" s="27"/>
      <c r="AA40" s="27"/>
      <c r="AB40" s="27"/>
      <c r="AC40" s="27"/>
      <c r="AD40" s="43" t="s">
        <v>982</v>
      </c>
      <c r="AE40" s="43" t="s">
        <v>982</v>
      </c>
      <c r="AF40" s="43">
        <v>325</v>
      </c>
      <c r="AG40" s="43">
        <v>163.744</v>
      </c>
      <c r="AH40" s="43">
        <v>100.525</v>
      </c>
      <c r="AI40" s="43">
        <f t="shared" si="0"/>
        <v>264.269</v>
      </c>
      <c r="AJ40" s="1" t="s">
        <v>982</v>
      </c>
      <c r="AK40" s="1" t="s">
        <v>982</v>
      </c>
      <c r="AL40" s="1" t="s">
        <v>982</v>
      </c>
      <c r="AM40" s="57">
        <v>212</v>
      </c>
      <c r="AN40" s="1">
        <v>0.21</v>
      </c>
      <c r="AO40" s="1" t="s">
        <v>982</v>
      </c>
      <c r="AP40" s="457">
        <f t="shared" si="1"/>
        <v>1.2465518867924528</v>
      </c>
      <c r="AQ40" s="57">
        <f t="shared" si="2"/>
        <v>1258.4238095238095</v>
      </c>
      <c r="AR40" s="43" t="e">
        <f t="shared" si="3"/>
        <v>#VALUE!</v>
      </c>
      <c r="AS40" s="2"/>
    </row>
    <row r="41" spans="1:45" ht="89.25">
      <c r="A41" s="147" t="str">
        <f>"SDG&amp;E "&amp;35</f>
        <v>SDG&amp;E 35</v>
      </c>
      <c r="B41" s="33" t="s">
        <v>552</v>
      </c>
      <c r="C41" s="33" t="s">
        <v>548</v>
      </c>
      <c r="D41" s="40" t="s">
        <v>454</v>
      </c>
      <c r="E41" s="41" t="s">
        <v>455</v>
      </c>
      <c r="F41" s="27" t="s">
        <v>969</v>
      </c>
      <c r="G41" s="28"/>
      <c r="H41" s="29"/>
      <c r="I41" s="27"/>
      <c r="J41" s="28"/>
      <c r="K41" s="1"/>
      <c r="L41" s="1"/>
      <c r="M41" s="1"/>
      <c r="N41" s="1"/>
      <c r="O41" s="1"/>
      <c r="P41" s="1"/>
      <c r="Q41" s="1"/>
      <c r="R41" s="1"/>
      <c r="S41" s="1"/>
      <c r="T41" s="1"/>
      <c r="U41" s="1"/>
      <c r="V41" s="1"/>
      <c r="W41" s="1"/>
      <c r="X41" s="1"/>
      <c r="Y41" s="1"/>
      <c r="Z41" s="27"/>
      <c r="AA41" s="27"/>
      <c r="AB41" s="27"/>
      <c r="AC41" s="27"/>
      <c r="AD41" s="43" t="s">
        <v>982</v>
      </c>
      <c r="AE41" s="43" t="s">
        <v>982</v>
      </c>
      <c r="AF41" s="43">
        <v>73</v>
      </c>
      <c r="AG41" s="43">
        <v>79.266</v>
      </c>
      <c r="AH41" s="43">
        <v>23.695</v>
      </c>
      <c r="AI41" s="43">
        <f t="shared" si="0"/>
        <v>102.96100000000001</v>
      </c>
      <c r="AJ41" s="1" t="s">
        <v>982</v>
      </c>
      <c r="AK41" s="1" t="s">
        <v>982</v>
      </c>
      <c r="AL41" s="1" t="s">
        <v>982</v>
      </c>
      <c r="AM41" s="57">
        <v>216</v>
      </c>
      <c r="AN41" s="1">
        <v>0.03</v>
      </c>
      <c r="AO41" s="1" t="s">
        <v>982</v>
      </c>
      <c r="AP41" s="457">
        <f t="shared" si="1"/>
        <v>0.47667129629629634</v>
      </c>
      <c r="AQ41" s="57">
        <f t="shared" si="2"/>
        <v>3432.0333333333338</v>
      </c>
      <c r="AR41" s="43" t="e">
        <f t="shared" si="3"/>
        <v>#VALUE!</v>
      </c>
      <c r="AS41" s="2"/>
    </row>
    <row r="42" spans="2:45" ht="12.75">
      <c r="B42" s="265" t="s">
        <v>1147</v>
      </c>
      <c r="C42" s="265" t="s">
        <v>816</v>
      </c>
      <c r="D42" s="266"/>
      <c r="E42" s="257"/>
      <c r="F42" s="352"/>
      <c r="G42" s="352"/>
      <c r="H42" s="375"/>
      <c r="I42" s="352"/>
      <c r="J42" s="352"/>
      <c r="K42" s="267"/>
      <c r="L42" s="267"/>
      <c r="M42" s="267"/>
      <c r="N42" s="267"/>
      <c r="O42" s="267"/>
      <c r="P42" s="267"/>
      <c r="Q42" s="267"/>
      <c r="R42" s="267"/>
      <c r="S42" s="267"/>
      <c r="T42" s="267"/>
      <c r="U42" s="267"/>
      <c r="V42" s="267"/>
      <c r="W42" s="267"/>
      <c r="X42" s="267"/>
      <c r="Y42" s="267"/>
      <c r="Z42" s="352"/>
      <c r="AA42" s="352"/>
      <c r="AB42" s="352"/>
      <c r="AC42" s="352"/>
      <c r="AD42" s="379">
        <f>SUM(AD21:AD41)</f>
        <v>0</v>
      </c>
      <c r="AE42" s="379">
        <f aca="true" t="shared" si="5" ref="AE42:AO42">SUM(AE21:AE41)</f>
        <v>0</v>
      </c>
      <c r="AF42" s="379">
        <f t="shared" si="5"/>
        <v>15175</v>
      </c>
      <c r="AG42" s="379">
        <f t="shared" si="5"/>
        <v>5062.07</v>
      </c>
      <c r="AH42" s="379">
        <f t="shared" si="5"/>
        <v>9859.346</v>
      </c>
      <c r="AI42" s="379">
        <f t="shared" si="5"/>
        <v>14921.416</v>
      </c>
      <c r="AJ42" s="379">
        <f t="shared" si="5"/>
        <v>0</v>
      </c>
      <c r="AK42" s="379">
        <f t="shared" si="5"/>
        <v>0</v>
      </c>
      <c r="AL42" s="379">
        <f t="shared" si="5"/>
        <v>0</v>
      </c>
      <c r="AM42" s="440">
        <f t="shared" si="5"/>
        <v>70958</v>
      </c>
      <c r="AN42" s="379">
        <f t="shared" si="5"/>
        <v>12.860000000000001</v>
      </c>
      <c r="AO42" s="379">
        <f t="shared" si="5"/>
        <v>720.308</v>
      </c>
      <c r="AP42" s="458">
        <f t="shared" si="1"/>
        <v>0.21028518278418218</v>
      </c>
      <c r="AQ42" s="440">
        <f t="shared" si="2"/>
        <v>1160.2967340590978</v>
      </c>
      <c r="AR42" s="379">
        <f t="shared" si="3"/>
        <v>20.715327332196782</v>
      </c>
      <c r="AS42" s="267"/>
    </row>
    <row r="43" spans="1:45" ht="76.5">
      <c r="A43" s="147" t="str">
        <f>"SDG&amp;E "&amp;36</f>
        <v>SDG&amp;E 36</v>
      </c>
      <c r="B43" s="33" t="s">
        <v>554</v>
      </c>
      <c r="C43" s="33" t="s">
        <v>553</v>
      </c>
      <c r="D43" s="41" t="s">
        <v>456</v>
      </c>
      <c r="E43" s="41" t="s">
        <v>457</v>
      </c>
      <c r="F43" s="27" t="s">
        <v>969</v>
      </c>
      <c r="G43" s="28"/>
      <c r="H43" s="29"/>
      <c r="I43" s="27"/>
      <c r="J43" s="28"/>
      <c r="K43" s="1"/>
      <c r="L43" s="1"/>
      <c r="M43" s="1"/>
      <c r="N43" s="1"/>
      <c r="O43" s="1"/>
      <c r="P43" s="1"/>
      <c r="Q43" s="1"/>
      <c r="R43" s="1"/>
      <c r="S43" s="1"/>
      <c r="T43" s="1"/>
      <c r="U43" s="1"/>
      <c r="V43" s="1"/>
      <c r="W43" s="1"/>
      <c r="X43" s="1"/>
      <c r="Y43" s="1"/>
      <c r="Z43" s="27"/>
      <c r="AA43" s="27"/>
      <c r="AB43" s="27"/>
      <c r="AC43" s="27"/>
      <c r="AD43" s="43" t="s">
        <v>982</v>
      </c>
      <c r="AE43" s="43" t="s">
        <v>982</v>
      </c>
      <c r="AF43" s="43" t="s">
        <v>982</v>
      </c>
      <c r="AG43" s="43">
        <f>229.207+11.439</f>
        <v>240.646</v>
      </c>
      <c r="AH43" s="43">
        <f>21.482+228.788</f>
        <v>250.27</v>
      </c>
      <c r="AI43" s="43">
        <f t="shared" si="0"/>
        <v>490.916</v>
      </c>
      <c r="AJ43" s="1" t="s">
        <v>982</v>
      </c>
      <c r="AK43" s="1" t="s">
        <v>982</v>
      </c>
      <c r="AL43" s="1" t="s">
        <v>982</v>
      </c>
      <c r="AM43" s="57">
        <v>491</v>
      </c>
      <c r="AN43" s="1">
        <v>0.05</v>
      </c>
      <c r="AO43" s="1">
        <v>13.67</v>
      </c>
      <c r="AP43" s="457">
        <f t="shared" si="1"/>
        <v>0.9998289205702647</v>
      </c>
      <c r="AQ43" s="57">
        <f t="shared" si="2"/>
        <v>9818.32</v>
      </c>
      <c r="AR43" s="43">
        <f t="shared" si="3"/>
        <v>35.91192392099488</v>
      </c>
      <c r="AS43" s="40" t="s">
        <v>863</v>
      </c>
    </row>
    <row r="44" spans="1:45" ht="127.5">
      <c r="A44" s="147" t="str">
        <f>"SDG&amp;E "&amp;37</f>
        <v>SDG&amp;E 37</v>
      </c>
      <c r="B44" s="33" t="s">
        <v>556</v>
      </c>
      <c r="C44" s="33" t="s">
        <v>553</v>
      </c>
      <c r="D44" s="41" t="s">
        <v>458</v>
      </c>
      <c r="E44" s="41" t="s">
        <v>499</v>
      </c>
      <c r="F44" s="27" t="s">
        <v>969</v>
      </c>
      <c r="G44" s="28"/>
      <c r="H44" s="29"/>
      <c r="I44" s="27"/>
      <c r="J44" s="28"/>
      <c r="K44" s="1"/>
      <c r="L44" s="1"/>
      <c r="M44" s="1"/>
      <c r="N44" s="1"/>
      <c r="O44" s="1"/>
      <c r="P44" s="1"/>
      <c r="Q44" s="1"/>
      <c r="R44" s="1"/>
      <c r="S44" s="1"/>
      <c r="T44" s="1"/>
      <c r="U44" s="1"/>
      <c r="V44" s="1"/>
      <c r="W44" s="1"/>
      <c r="X44" s="1"/>
      <c r="Y44" s="1"/>
      <c r="Z44" s="27"/>
      <c r="AA44" s="27"/>
      <c r="AB44" s="27"/>
      <c r="AC44" s="27"/>
      <c r="AD44" s="43" t="s">
        <v>982</v>
      </c>
      <c r="AE44" s="43" t="s">
        <v>982</v>
      </c>
      <c r="AF44" s="43" t="s">
        <v>982</v>
      </c>
      <c r="AG44" s="43">
        <f>358.609+20.18</f>
        <v>378.789</v>
      </c>
      <c r="AH44" s="43">
        <f>102.2+403.6</f>
        <v>505.8</v>
      </c>
      <c r="AI44" s="43">
        <f t="shared" si="0"/>
        <v>884.5889999999999</v>
      </c>
      <c r="AJ44" s="1" t="s">
        <v>982</v>
      </c>
      <c r="AK44" s="1" t="s">
        <v>982</v>
      </c>
      <c r="AL44" s="1" t="s">
        <v>982</v>
      </c>
      <c r="AM44" s="57">
        <v>1380</v>
      </c>
      <c r="AN44" s="1">
        <v>0.57</v>
      </c>
      <c r="AO44" s="1">
        <v>91.141</v>
      </c>
      <c r="AP44" s="457">
        <f t="shared" si="1"/>
        <v>0.6410065217391304</v>
      </c>
      <c r="AQ44" s="57">
        <f t="shared" si="2"/>
        <v>1551.9105263157894</v>
      </c>
      <c r="AR44" s="43">
        <f t="shared" si="3"/>
        <v>9.705719709022283</v>
      </c>
      <c r="AS44" s="40" t="s">
        <v>863</v>
      </c>
    </row>
    <row r="45" spans="1:45" ht="89.25">
      <c r="A45" s="147" t="str">
        <f>"SDG&amp;E "&amp;38</f>
        <v>SDG&amp;E 38</v>
      </c>
      <c r="B45" s="33" t="s">
        <v>555</v>
      </c>
      <c r="C45" s="33" t="s">
        <v>553</v>
      </c>
      <c r="D45" s="41" t="s">
        <v>497</v>
      </c>
      <c r="E45" s="41" t="s">
        <v>498</v>
      </c>
      <c r="F45" s="27" t="s">
        <v>969</v>
      </c>
      <c r="G45" s="28"/>
      <c r="H45" s="29"/>
      <c r="I45" s="27"/>
      <c r="J45" s="28"/>
      <c r="K45" s="1"/>
      <c r="L45" s="1"/>
      <c r="M45" s="1"/>
      <c r="N45" s="1"/>
      <c r="O45" s="1"/>
      <c r="P45" s="1"/>
      <c r="Q45" s="1"/>
      <c r="R45" s="1"/>
      <c r="S45" s="1"/>
      <c r="T45" s="1"/>
      <c r="U45" s="1"/>
      <c r="V45" s="1"/>
      <c r="W45" s="1"/>
      <c r="X45" s="1"/>
      <c r="Y45" s="1"/>
      <c r="Z45" s="27"/>
      <c r="AA45" s="27"/>
      <c r="AB45" s="27"/>
      <c r="AC45" s="27"/>
      <c r="AD45" s="43" t="s">
        <v>982</v>
      </c>
      <c r="AE45" s="43" t="s">
        <v>982</v>
      </c>
      <c r="AF45" s="43" t="s">
        <v>982</v>
      </c>
      <c r="AG45" s="43">
        <f>435.096+27.33</f>
        <v>462.426</v>
      </c>
      <c r="AH45" s="43">
        <f>1.6+546.6</f>
        <v>548.2</v>
      </c>
      <c r="AI45" s="43">
        <f t="shared" si="0"/>
        <v>1010.626</v>
      </c>
      <c r="AJ45" s="1" t="s">
        <v>982</v>
      </c>
      <c r="AK45" s="1" t="s">
        <v>982</v>
      </c>
      <c r="AL45" s="1" t="s">
        <v>982</v>
      </c>
      <c r="AM45" s="57">
        <v>2272</v>
      </c>
      <c r="AN45" s="1">
        <v>0.91</v>
      </c>
      <c r="AO45" s="1">
        <v>150.497</v>
      </c>
      <c r="AP45" s="457">
        <f t="shared" si="1"/>
        <v>0.44481778169014086</v>
      </c>
      <c r="AQ45" s="57">
        <f t="shared" si="2"/>
        <v>1110.578021978022</v>
      </c>
      <c r="AR45" s="43">
        <f t="shared" si="3"/>
        <v>6.715256782527225</v>
      </c>
      <c r="AS45" s="40" t="s">
        <v>863</v>
      </c>
    </row>
    <row r="46" spans="1:45" ht="153">
      <c r="A46" s="147" t="str">
        <f>"SDG&amp;E "&amp;39</f>
        <v>SDG&amp;E 39</v>
      </c>
      <c r="B46" s="33" t="s">
        <v>557</v>
      </c>
      <c r="C46" s="33" t="s">
        <v>553</v>
      </c>
      <c r="D46" s="40" t="s">
        <v>500</v>
      </c>
      <c r="E46" s="41" t="s">
        <v>501</v>
      </c>
      <c r="F46" s="27" t="s">
        <v>969</v>
      </c>
      <c r="G46" s="28"/>
      <c r="H46" s="29"/>
      <c r="I46" s="27"/>
      <c r="J46" s="28"/>
      <c r="K46" s="1"/>
      <c r="L46" s="1"/>
      <c r="M46" s="1"/>
      <c r="N46" s="1"/>
      <c r="O46" s="1"/>
      <c r="P46" s="1"/>
      <c r="Q46" s="1"/>
      <c r="R46" s="1"/>
      <c r="S46" s="1"/>
      <c r="T46" s="1"/>
      <c r="U46" s="1"/>
      <c r="V46" s="1"/>
      <c r="W46" s="1"/>
      <c r="X46" s="1"/>
      <c r="Y46" s="1"/>
      <c r="Z46" s="27"/>
      <c r="AA46" s="27"/>
      <c r="AB46" s="27"/>
      <c r="AC46" s="27"/>
      <c r="AD46" s="43" t="s">
        <v>982</v>
      </c>
      <c r="AE46" s="43" t="s">
        <v>982</v>
      </c>
      <c r="AF46" s="43" t="s">
        <v>982</v>
      </c>
      <c r="AG46" s="43">
        <f>184.452</f>
        <v>184.452</v>
      </c>
      <c r="AH46" s="43">
        <v>0</v>
      </c>
      <c r="AI46" s="43">
        <f t="shared" si="0"/>
        <v>184.452</v>
      </c>
      <c r="AJ46" s="1" t="s">
        <v>982</v>
      </c>
      <c r="AK46" s="1" t="s">
        <v>982</v>
      </c>
      <c r="AL46" s="1" t="s">
        <v>982</v>
      </c>
      <c r="AM46" s="443">
        <v>0</v>
      </c>
      <c r="AN46" s="443">
        <v>0</v>
      </c>
      <c r="AO46" s="443">
        <v>0</v>
      </c>
      <c r="AP46" s="457" t="str">
        <f t="shared" si="1"/>
        <v>NA</v>
      </c>
      <c r="AQ46" s="57" t="str">
        <f t="shared" si="2"/>
        <v>NA</v>
      </c>
      <c r="AR46" s="43" t="str">
        <f t="shared" si="3"/>
        <v>NA</v>
      </c>
      <c r="AS46" s="2"/>
    </row>
    <row r="47" spans="1:45" ht="63.75">
      <c r="A47" s="147" t="str">
        <f>"SDG&amp;E "&amp;40</f>
        <v>SDG&amp;E 40</v>
      </c>
      <c r="B47" s="33" t="s">
        <v>558</v>
      </c>
      <c r="C47" s="33" t="s">
        <v>553</v>
      </c>
      <c r="D47" s="40" t="s">
        <v>502</v>
      </c>
      <c r="E47" s="41" t="s">
        <v>503</v>
      </c>
      <c r="F47" s="27" t="s">
        <v>969</v>
      </c>
      <c r="G47" s="28"/>
      <c r="H47" s="29"/>
      <c r="I47" s="27"/>
      <c r="J47" s="28"/>
      <c r="K47" s="1"/>
      <c r="L47" s="1"/>
      <c r="M47" s="1"/>
      <c r="N47" s="1"/>
      <c r="O47" s="1"/>
      <c r="P47" s="1"/>
      <c r="Q47" s="1"/>
      <c r="R47" s="1"/>
      <c r="S47" s="1"/>
      <c r="T47" s="1"/>
      <c r="U47" s="1"/>
      <c r="V47" s="1"/>
      <c r="W47" s="1"/>
      <c r="X47" s="1"/>
      <c r="Y47" s="1"/>
      <c r="Z47" s="27"/>
      <c r="AA47" s="27"/>
      <c r="AB47" s="27"/>
      <c r="AC47" s="27"/>
      <c r="AD47" s="43" t="s">
        <v>982</v>
      </c>
      <c r="AE47" s="43" t="s">
        <v>982</v>
      </c>
      <c r="AF47" s="43" t="s">
        <v>982</v>
      </c>
      <c r="AG47" s="43">
        <v>31.141</v>
      </c>
      <c r="AH47" s="43">
        <v>0</v>
      </c>
      <c r="AI47" s="43">
        <f t="shared" si="0"/>
        <v>31.141</v>
      </c>
      <c r="AJ47" s="1" t="s">
        <v>982</v>
      </c>
      <c r="AK47" s="1" t="s">
        <v>982</v>
      </c>
      <c r="AL47" s="1" t="s">
        <v>982</v>
      </c>
      <c r="AM47" s="443">
        <v>0</v>
      </c>
      <c r="AN47" s="443">
        <v>0</v>
      </c>
      <c r="AO47" s="443">
        <v>0</v>
      </c>
      <c r="AP47" s="457" t="str">
        <f t="shared" si="1"/>
        <v>NA</v>
      </c>
      <c r="AQ47" s="57" t="str">
        <f t="shared" si="2"/>
        <v>NA</v>
      </c>
      <c r="AR47" s="43" t="str">
        <f t="shared" si="3"/>
        <v>NA</v>
      </c>
      <c r="AS47" s="2"/>
    </row>
    <row r="48" spans="1:45" ht="76.5">
      <c r="A48" s="147" t="str">
        <f>"SDG&amp;E "&amp;41</f>
        <v>SDG&amp;E 41</v>
      </c>
      <c r="B48" s="33" t="s">
        <v>559</v>
      </c>
      <c r="C48" s="33" t="s">
        <v>553</v>
      </c>
      <c r="D48" s="40" t="s">
        <v>504</v>
      </c>
      <c r="E48" s="41"/>
      <c r="F48" s="27" t="s">
        <v>969</v>
      </c>
      <c r="G48" s="28"/>
      <c r="H48" s="29"/>
      <c r="I48" s="27"/>
      <c r="J48" s="28"/>
      <c r="K48" s="1"/>
      <c r="L48" s="1"/>
      <c r="M48" s="1"/>
      <c r="N48" s="1"/>
      <c r="O48" s="1"/>
      <c r="P48" s="1"/>
      <c r="Q48" s="1"/>
      <c r="R48" s="1"/>
      <c r="S48" s="1"/>
      <c r="T48" s="1"/>
      <c r="U48" s="1"/>
      <c r="V48" s="1"/>
      <c r="W48" s="1"/>
      <c r="X48" s="1"/>
      <c r="Y48" s="1"/>
      <c r="Z48" s="27"/>
      <c r="AA48" s="27"/>
      <c r="AB48" s="27"/>
      <c r="AC48" s="27"/>
      <c r="AD48" s="43" t="s">
        <v>982</v>
      </c>
      <c r="AE48" s="43" t="s">
        <v>982</v>
      </c>
      <c r="AF48" s="43" t="s">
        <v>982</v>
      </c>
      <c r="AG48" s="43">
        <v>0</v>
      </c>
      <c r="AH48" s="43">
        <v>0</v>
      </c>
      <c r="AI48" s="43">
        <f t="shared" si="0"/>
        <v>0</v>
      </c>
      <c r="AJ48" s="1" t="s">
        <v>982</v>
      </c>
      <c r="AK48" s="1" t="s">
        <v>982</v>
      </c>
      <c r="AL48" s="1" t="s">
        <v>982</v>
      </c>
      <c r="AM48" s="443">
        <v>0</v>
      </c>
      <c r="AN48" s="443">
        <v>0</v>
      </c>
      <c r="AO48" s="443">
        <v>0</v>
      </c>
      <c r="AP48" s="457" t="str">
        <f t="shared" si="1"/>
        <v>NA</v>
      </c>
      <c r="AQ48" s="57" t="str">
        <f t="shared" si="2"/>
        <v>NA</v>
      </c>
      <c r="AR48" s="43" t="str">
        <f t="shared" si="3"/>
        <v>NA</v>
      </c>
      <c r="AS48" s="2"/>
    </row>
    <row r="49" spans="1:45" ht="102">
      <c r="A49" s="147" t="str">
        <f>"SDG&amp;E "&amp;42</f>
        <v>SDG&amp;E 42</v>
      </c>
      <c r="B49" s="33" t="s">
        <v>560</v>
      </c>
      <c r="C49" s="33" t="s">
        <v>553</v>
      </c>
      <c r="D49" s="40" t="s">
        <v>505</v>
      </c>
      <c r="E49" s="41" t="s">
        <v>506</v>
      </c>
      <c r="F49" s="27" t="s">
        <v>969</v>
      </c>
      <c r="G49" s="28"/>
      <c r="H49" s="29"/>
      <c r="I49" s="27"/>
      <c r="J49" s="28"/>
      <c r="K49" s="1"/>
      <c r="L49" s="1"/>
      <c r="M49" s="1"/>
      <c r="N49" s="1"/>
      <c r="O49" s="1"/>
      <c r="P49" s="1"/>
      <c r="Q49" s="1"/>
      <c r="R49" s="1"/>
      <c r="S49" s="1"/>
      <c r="T49" s="1"/>
      <c r="U49" s="1"/>
      <c r="V49" s="1"/>
      <c r="W49" s="1"/>
      <c r="X49" s="1"/>
      <c r="Y49" s="1"/>
      <c r="Z49" s="27"/>
      <c r="AA49" s="27"/>
      <c r="AB49" s="27"/>
      <c r="AC49" s="27"/>
      <c r="AD49" s="43" t="s">
        <v>982</v>
      </c>
      <c r="AE49" s="43" t="s">
        <v>982</v>
      </c>
      <c r="AF49" s="43" t="s">
        <v>982</v>
      </c>
      <c r="AG49" s="43">
        <v>0</v>
      </c>
      <c r="AH49" s="43">
        <v>0</v>
      </c>
      <c r="AI49" s="43">
        <f t="shared" si="0"/>
        <v>0</v>
      </c>
      <c r="AJ49" s="1" t="s">
        <v>982</v>
      </c>
      <c r="AK49" s="1" t="s">
        <v>982</v>
      </c>
      <c r="AL49" s="1" t="s">
        <v>982</v>
      </c>
      <c r="AM49" s="443">
        <v>0</v>
      </c>
      <c r="AN49" s="443">
        <v>0</v>
      </c>
      <c r="AO49" s="443">
        <v>0</v>
      </c>
      <c r="AP49" s="457" t="str">
        <f t="shared" si="1"/>
        <v>NA</v>
      </c>
      <c r="AQ49" s="57" t="str">
        <f t="shared" si="2"/>
        <v>NA</v>
      </c>
      <c r="AR49" s="43" t="str">
        <f t="shared" si="3"/>
        <v>NA</v>
      </c>
      <c r="AS49" s="2"/>
    </row>
    <row r="50" spans="1:45" ht="102">
      <c r="A50" s="147" t="str">
        <f>"SDG&amp;E "&amp;43</f>
        <v>SDG&amp;E 43</v>
      </c>
      <c r="B50" s="33" t="s">
        <v>614</v>
      </c>
      <c r="C50" s="33" t="s">
        <v>561</v>
      </c>
      <c r="D50" s="40" t="s">
        <v>507</v>
      </c>
      <c r="E50" s="41" t="s">
        <v>508</v>
      </c>
      <c r="F50" s="27" t="s">
        <v>969</v>
      </c>
      <c r="G50" s="28"/>
      <c r="H50" s="29"/>
      <c r="I50" s="27"/>
      <c r="J50" s="28"/>
      <c r="K50" s="1"/>
      <c r="L50" s="1"/>
      <c r="M50" s="1"/>
      <c r="N50" s="1"/>
      <c r="O50" s="1"/>
      <c r="P50" s="1"/>
      <c r="Q50" s="1"/>
      <c r="R50" s="1"/>
      <c r="S50" s="1"/>
      <c r="T50" s="1"/>
      <c r="U50" s="1"/>
      <c r="V50" s="1"/>
      <c r="W50" s="1"/>
      <c r="X50" s="1"/>
      <c r="Y50" s="1"/>
      <c r="Z50" s="27"/>
      <c r="AA50" s="27"/>
      <c r="AB50" s="27"/>
      <c r="AC50" s="27"/>
      <c r="AD50" s="43" t="s">
        <v>982</v>
      </c>
      <c r="AE50" s="43" t="s">
        <v>982</v>
      </c>
      <c r="AF50" s="43" t="s">
        <v>982</v>
      </c>
      <c r="AG50" s="43">
        <f>746.819+105.51</f>
        <v>852.329</v>
      </c>
      <c r="AH50" s="43">
        <f>335.162+2110.192</f>
        <v>2445.354</v>
      </c>
      <c r="AI50" s="43">
        <f t="shared" si="0"/>
        <v>3297.683</v>
      </c>
      <c r="AJ50" s="1" t="s">
        <v>982</v>
      </c>
      <c r="AK50" s="1" t="s">
        <v>982</v>
      </c>
      <c r="AL50" s="1" t="s">
        <v>982</v>
      </c>
      <c r="AM50" s="57">
        <v>30039</v>
      </c>
      <c r="AN50" s="1">
        <v>5.96</v>
      </c>
      <c r="AO50" s="1">
        <v>453.578</v>
      </c>
      <c r="AP50" s="457">
        <f t="shared" si="1"/>
        <v>0.1097800525982889</v>
      </c>
      <c r="AQ50" s="57">
        <f t="shared" si="2"/>
        <v>553.3025167785235</v>
      </c>
      <c r="AR50" s="43">
        <f t="shared" si="3"/>
        <v>7.270376870130386</v>
      </c>
      <c r="AS50" s="2"/>
    </row>
    <row r="51" spans="1:45" ht="89.25">
      <c r="A51" s="147" t="str">
        <f>"SDG&amp;E "&amp;44</f>
        <v>SDG&amp;E 44</v>
      </c>
      <c r="B51" s="33" t="s">
        <v>562</v>
      </c>
      <c r="C51" s="33" t="s">
        <v>561</v>
      </c>
      <c r="D51" s="40" t="s">
        <v>509</v>
      </c>
      <c r="E51" s="41" t="s">
        <v>510</v>
      </c>
      <c r="F51" s="27" t="s">
        <v>969</v>
      </c>
      <c r="G51" s="28"/>
      <c r="H51" s="29"/>
      <c r="I51" s="27"/>
      <c r="J51" s="28"/>
      <c r="K51" s="1"/>
      <c r="L51" s="1"/>
      <c r="M51" s="1"/>
      <c r="N51" s="1"/>
      <c r="O51" s="1"/>
      <c r="P51" s="1"/>
      <c r="Q51" s="1"/>
      <c r="R51" s="1"/>
      <c r="S51" s="1"/>
      <c r="T51" s="1"/>
      <c r="U51" s="1"/>
      <c r="V51" s="1"/>
      <c r="W51" s="1"/>
      <c r="X51" s="1"/>
      <c r="Y51" s="1"/>
      <c r="Z51" s="27"/>
      <c r="AA51" s="27"/>
      <c r="AB51" s="27"/>
      <c r="AC51" s="27"/>
      <c r="AD51" s="43" t="s">
        <v>982</v>
      </c>
      <c r="AE51" s="43" t="s">
        <v>982</v>
      </c>
      <c r="AF51" s="43" t="s">
        <v>982</v>
      </c>
      <c r="AG51" s="43">
        <v>344.326</v>
      </c>
      <c r="AH51" s="43">
        <v>0</v>
      </c>
      <c r="AI51" s="43">
        <f t="shared" si="0"/>
        <v>344.326</v>
      </c>
      <c r="AJ51" s="1" t="s">
        <v>982</v>
      </c>
      <c r="AK51" s="1" t="s">
        <v>982</v>
      </c>
      <c r="AL51" s="1" t="s">
        <v>982</v>
      </c>
      <c r="AM51" s="443">
        <v>0</v>
      </c>
      <c r="AN51" s="443">
        <v>0</v>
      </c>
      <c r="AO51" s="443">
        <v>0</v>
      </c>
      <c r="AP51" s="457" t="str">
        <f t="shared" si="1"/>
        <v>NA</v>
      </c>
      <c r="AQ51" s="57" t="str">
        <f t="shared" si="2"/>
        <v>NA</v>
      </c>
      <c r="AR51" s="43" t="str">
        <f t="shared" si="3"/>
        <v>NA</v>
      </c>
      <c r="AS51" s="2"/>
    </row>
    <row r="52" spans="1:45" ht="51">
      <c r="A52" s="147" t="str">
        <f>"SDG&amp;E "&amp;45</f>
        <v>SDG&amp;E 45</v>
      </c>
      <c r="B52" s="33" t="s">
        <v>563</v>
      </c>
      <c r="C52" s="33" t="s">
        <v>1078</v>
      </c>
      <c r="D52" s="40" t="s">
        <v>1077</v>
      </c>
      <c r="E52" s="41" t="s">
        <v>1079</v>
      </c>
      <c r="F52" s="27" t="s">
        <v>969</v>
      </c>
      <c r="G52" s="28"/>
      <c r="H52" s="29"/>
      <c r="I52" s="27"/>
      <c r="J52" s="28"/>
      <c r="K52" s="1"/>
      <c r="L52" s="1"/>
      <c r="M52" s="1"/>
      <c r="N52" s="1"/>
      <c r="O52" s="1"/>
      <c r="P52" s="1"/>
      <c r="Q52" s="1"/>
      <c r="R52" s="1"/>
      <c r="S52" s="1"/>
      <c r="T52" s="1"/>
      <c r="U52" s="1"/>
      <c r="V52" s="1"/>
      <c r="W52" s="1"/>
      <c r="X52" s="1"/>
      <c r="Y52" s="1"/>
      <c r="Z52" s="27"/>
      <c r="AA52" s="27"/>
      <c r="AB52" s="27"/>
      <c r="AC52" s="27"/>
      <c r="AD52" s="43" t="s">
        <v>982</v>
      </c>
      <c r="AE52" s="43" t="s">
        <v>982</v>
      </c>
      <c r="AF52" s="43" t="s">
        <v>982</v>
      </c>
      <c r="AG52" s="43">
        <f>171.258+9.585</f>
        <v>180.84300000000002</v>
      </c>
      <c r="AH52" s="43">
        <f>380.176+191.702</f>
        <v>571.8779999999999</v>
      </c>
      <c r="AI52" s="43">
        <f t="shared" si="0"/>
        <v>752.721</v>
      </c>
      <c r="AJ52" s="1" t="s">
        <v>982</v>
      </c>
      <c r="AK52" s="1" t="s">
        <v>982</v>
      </c>
      <c r="AL52" s="1" t="s">
        <v>982</v>
      </c>
      <c r="AM52" s="443">
        <v>0</v>
      </c>
      <c r="AN52" s="443">
        <v>0</v>
      </c>
      <c r="AO52" s="443">
        <v>0</v>
      </c>
      <c r="AP52" s="457" t="str">
        <f t="shared" si="1"/>
        <v>NA</v>
      </c>
      <c r="AQ52" s="57" t="str">
        <f t="shared" si="2"/>
        <v>NA</v>
      </c>
      <c r="AR52" s="43" t="str">
        <f t="shared" si="3"/>
        <v>NA</v>
      </c>
      <c r="AS52" s="41" t="s">
        <v>1077</v>
      </c>
    </row>
    <row r="53" spans="1:48" ht="89.25">
      <c r="A53" s="147" t="str">
        <f>"SDG&amp;E "&amp;46</f>
        <v>SDG&amp;E 46</v>
      </c>
      <c r="B53" s="33" t="s">
        <v>1075</v>
      </c>
      <c r="C53" s="33" t="s">
        <v>564</v>
      </c>
      <c r="D53" s="40" t="s">
        <v>864</v>
      </c>
      <c r="E53" s="41" t="s">
        <v>511</v>
      </c>
      <c r="F53" s="27" t="s">
        <v>969</v>
      </c>
      <c r="G53" s="28"/>
      <c r="H53" s="29"/>
      <c r="I53" s="27"/>
      <c r="J53" s="28"/>
      <c r="K53" s="1"/>
      <c r="L53" s="1"/>
      <c r="M53" s="1"/>
      <c r="N53" s="1"/>
      <c r="O53" s="1"/>
      <c r="P53" s="1"/>
      <c r="Q53" s="1"/>
      <c r="R53" s="1"/>
      <c r="S53" s="1"/>
      <c r="T53" s="1"/>
      <c r="U53" s="1"/>
      <c r="V53" s="1"/>
      <c r="W53" s="1"/>
      <c r="X53" s="1"/>
      <c r="Y53" s="1"/>
      <c r="Z53" s="27"/>
      <c r="AA53" s="27"/>
      <c r="AB53" s="27"/>
      <c r="AC53" s="27"/>
      <c r="AD53" s="43" t="s">
        <v>982</v>
      </c>
      <c r="AE53" s="43" t="s">
        <v>982</v>
      </c>
      <c r="AF53" s="43" t="s">
        <v>982</v>
      </c>
      <c r="AG53" s="43">
        <f>250.973+257.087</f>
        <v>508.06</v>
      </c>
      <c r="AH53" s="43">
        <v>0</v>
      </c>
      <c r="AI53" s="43">
        <f t="shared" si="0"/>
        <v>508.06</v>
      </c>
      <c r="AJ53" s="1" t="s">
        <v>982</v>
      </c>
      <c r="AK53" s="1" t="s">
        <v>982</v>
      </c>
      <c r="AL53" s="1" t="s">
        <v>982</v>
      </c>
      <c r="AM53" s="443">
        <v>0</v>
      </c>
      <c r="AN53" s="443">
        <v>0</v>
      </c>
      <c r="AO53" s="443">
        <v>0</v>
      </c>
      <c r="AP53" s="457" t="str">
        <f t="shared" si="1"/>
        <v>NA</v>
      </c>
      <c r="AQ53" s="57" t="str">
        <f t="shared" si="2"/>
        <v>NA</v>
      </c>
      <c r="AR53" s="43" t="str">
        <f t="shared" si="3"/>
        <v>NA</v>
      </c>
      <c r="AS53" s="2"/>
      <c r="AV53" s="181"/>
    </row>
    <row r="54" spans="2:45" ht="12.75">
      <c r="B54" s="265" t="s">
        <v>1147</v>
      </c>
      <c r="C54" s="274" t="s">
        <v>671</v>
      </c>
      <c r="D54" s="266"/>
      <c r="E54" s="257"/>
      <c r="F54" s="352"/>
      <c r="G54" s="352"/>
      <c r="H54" s="375"/>
      <c r="I54" s="352"/>
      <c r="J54" s="352"/>
      <c r="K54" s="267"/>
      <c r="L54" s="267"/>
      <c r="M54" s="267"/>
      <c r="N54" s="267"/>
      <c r="O54" s="267"/>
      <c r="P54" s="267"/>
      <c r="Q54" s="267"/>
      <c r="R54" s="267"/>
      <c r="S54" s="267"/>
      <c r="T54" s="267"/>
      <c r="U54" s="267"/>
      <c r="V54" s="267"/>
      <c r="W54" s="267"/>
      <c r="X54" s="267"/>
      <c r="Y54" s="267"/>
      <c r="Z54" s="352"/>
      <c r="AA54" s="352"/>
      <c r="AB54" s="352"/>
      <c r="AC54" s="352"/>
      <c r="AD54" s="379">
        <f>SUM(AD43:AD53)</f>
        <v>0</v>
      </c>
      <c r="AE54" s="379">
        <f aca="true" t="shared" si="6" ref="AE54:AO54">SUM(AE43:AE53)</f>
        <v>0</v>
      </c>
      <c r="AF54" s="379">
        <f t="shared" si="6"/>
        <v>0</v>
      </c>
      <c r="AG54" s="379">
        <f t="shared" si="6"/>
        <v>3183.0119999999997</v>
      </c>
      <c r="AH54" s="379">
        <f t="shared" si="6"/>
        <v>4321.5019999999995</v>
      </c>
      <c r="AI54" s="379">
        <f t="shared" si="6"/>
        <v>7504.514</v>
      </c>
      <c r="AJ54" s="379">
        <f t="shared" si="6"/>
        <v>0</v>
      </c>
      <c r="AK54" s="379">
        <f t="shared" si="6"/>
        <v>0</v>
      </c>
      <c r="AL54" s="379">
        <f t="shared" si="6"/>
        <v>0</v>
      </c>
      <c r="AM54" s="440">
        <f t="shared" si="6"/>
        <v>34182</v>
      </c>
      <c r="AN54" s="379">
        <f t="shared" si="6"/>
        <v>7.49</v>
      </c>
      <c r="AO54" s="379">
        <f t="shared" si="6"/>
        <v>708.886</v>
      </c>
      <c r="AP54" s="458">
        <f t="shared" si="1"/>
        <v>0.2195457843309344</v>
      </c>
      <c r="AQ54" s="440">
        <f t="shared" si="2"/>
        <v>1001.9377837116155</v>
      </c>
      <c r="AR54" s="379">
        <f t="shared" si="3"/>
        <v>10.586348157531678</v>
      </c>
      <c r="AS54" s="267"/>
    </row>
    <row r="55" spans="35:40" ht="12.75">
      <c r="AI55" s="226"/>
      <c r="AN55" s="226"/>
    </row>
    <row r="56" spans="2:45" ht="12.75">
      <c r="B56" s="265" t="s">
        <v>651</v>
      </c>
      <c r="C56" s="274" t="s">
        <v>1146</v>
      </c>
      <c r="D56" s="266"/>
      <c r="E56" s="257"/>
      <c r="F56" s="352"/>
      <c r="G56" s="352"/>
      <c r="H56" s="375"/>
      <c r="I56" s="352"/>
      <c r="J56" s="352"/>
      <c r="K56" s="267"/>
      <c r="L56" s="267"/>
      <c r="M56" s="267"/>
      <c r="N56" s="267"/>
      <c r="O56" s="267"/>
      <c r="P56" s="267"/>
      <c r="Q56" s="267"/>
      <c r="R56" s="267"/>
      <c r="S56" s="267"/>
      <c r="T56" s="267"/>
      <c r="U56" s="267"/>
      <c r="V56" s="267"/>
      <c r="W56" s="267"/>
      <c r="X56" s="267"/>
      <c r="Y56" s="267"/>
      <c r="Z56" s="352"/>
      <c r="AA56" s="352"/>
      <c r="AB56" s="352"/>
      <c r="AC56" s="352"/>
      <c r="AD56" s="379">
        <f>AD54+AD42+AD20</f>
        <v>0</v>
      </c>
      <c r="AE56" s="379">
        <f aca="true" t="shared" si="7" ref="AE56:AO56">AE54+AE42+AE20</f>
        <v>2000</v>
      </c>
      <c r="AF56" s="379">
        <f t="shared" si="7"/>
        <v>24377</v>
      </c>
      <c r="AG56" s="379">
        <f t="shared" si="7"/>
        <v>15528.111999999997</v>
      </c>
      <c r="AH56" s="379">
        <f t="shared" si="7"/>
        <v>21038.082</v>
      </c>
      <c r="AI56" s="379">
        <f t="shared" si="7"/>
        <v>41618.194</v>
      </c>
      <c r="AJ56" s="379">
        <f t="shared" si="7"/>
        <v>0</v>
      </c>
      <c r="AK56" s="379">
        <f t="shared" si="7"/>
        <v>0</v>
      </c>
      <c r="AL56" s="379">
        <f t="shared" si="7"/>
        <v>0</v>
      </c>
      <c r="AM56" s="440">
        <f t="shared" si="7"/>
        <v>149361</v>
      </c>
      <c r="AN56" s="379">
        <f t="shared" si="7"/>
        <v>31.080000000000005</v>
      </c>
      <c r="AO56" s="379">
        <f t="shared" si="7"/>
        <v>2874.64</v>
      </c>
      <c r="AP56" s="458">
        <f t="shared" si="1"/>
        <v>0.2786416400532937</v>
      </c>
      <c r="AQ56" s="440">
        <f t="shared" si="2"/>
        <v>1339.066731016731</v>
      </c>
      <c r="AR56" s="379">
        <f t="shared" si="3"/>
        <v>14.477706425848108</v>
      </c>
      <c r="AS56" s="267"/>
    </row>
  </sheetData>
  <sheetProtection password="DE47" sheet="1" objects="1" scenarios="1"/>
  <mergeCells count="1">
    <mergeCell ref="AS4:AS5"/>
  </mergeCells>
  <printOptions/>
  <pageMargins left="0.5" right="0.5" top="0.54" bottom="1" header="0.5" footer="0.5"/>
  <pageSetup fitToHeight="50" fitToWidth="2" horizontalDpi="300" verticalDpi="300" orientation="landscape" pageOrder="overThenDown" scale="62" r:id="rId4"/>
  <headerFooter alignWithMargins="0">
    <oddHeader>&amp;CCALMAC Summary Study</oddHeader>
    <oddFooter>&amp;LGlobal Energy Partners, LLC&amp;C&amp;D&amp;RPage &amp;P of &amp;N</oddFooter>
  </headerFooter>
  <colBreaks count="1" manualBreakCount="1">
    <brk id="35" min="5" max="55" man="1"/>
  </col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AR63"/>
  <sheetViews>
    <sheetView showGridLines="0" zoomScale="75" zoomScaleNormal="75" zoomScaleSheetLayoutView="100" workbookViewId="0" topLeftCell="A1">
      <pane xSplit="4" ySplit="5" topLeftCell="E6" activePane="bottomRight" state="frozen"/>
      <selection pane="topLeft" activeCell="D35" sqref="D35"/>
      <selection pane="topRight" activeCell="D35" sqref="D35"/>
      <selection pane="bottomLeft" activeCell="D35" sqref="D35"/>
      <selection pane="bottomRight" activeCell="A5" sqref="A5"/>
    </sheetView>
  </sheetViews>
  <sheetFormatPr defaultColWidth="9.140625" defaultRowHeight="12.75" outlineLevelCol="1"/>
  <cols>
    <col min="1" max="1" width="9.140625" style="31" customWidth="1"/>
    <col min="2" max="2" width="14.28125" style="31" customWidth="1"/>
    <col min="3" max="3" width="13.28125" style="31" customWidth="1"/>
    <col min="4" max="4" width="31.8515625" style="31" customWidth="1"/>
    <col min="5" max="9" width="3.7109375" style="31" customWidth="1"/>
    <col min="10" max="10" width="8.8515625" style="31" hidden="1" customWidth="1" outlineLevel="1"/>
    <col min="11" max="12" width="7.7109375" style="31" hidden="1" customWidth="1" outlineLevel="1"/>
    <col min="13" max="13" width="7.57421875" style="31" hidden="1" customWidth="1" outlineLevel="1"/>
    <col min="14" max="21" width="7.7109375" style="31" hidden="1" customWidth="1" outlineLevel="1"/>
    <col min="22" max="22" width="7.00390625" style="31" hidden="1" customWidth="1" outlineLevel="1"/>
    <col min="23" max="23" width="11.57421875" style="31" hidden="1" customWidth="1" outlineLevel="1"/>
    <col min="24" max="24" width="0" style="31" hidden="1" customWidth="1" outlineLevel="1"/>
    <col min="25" max="25" width="7.421875" style="31" hidden="1" customWidth="1" outlineLevel="1"/>
    <col min="26" max="26" width="6.28125" style="31" hidden="1" customWidth="1" outlineLevel="1"/>
    <col min="27" max="27" width="6.7109375" style="31" hidden="1" customWidth="1" outlineLevel="1"/>
    <col min="28" max="28" width="6.8515625" style="31" hidden="1" customWidth="1" outlineLevel="1"/>
    <col min="29" max="29" width="8.421875" style="83" customWidth="1" collapsed="1"/>
    <col min="30" max="30" width="9.00390625" style="83" customWidth="1"/>
    <col min="31" max="31" width="9.7109375" style="598" customWidth="1"/>
    <col min="32" max="32" width="8.7109375" style="83" customWidth="1"/>
    <col min="33" max="33" width="8.8515625" style="31" customWidth="1"/>
    <col min="34" max="34" width="9.421875" style="355" customWidth="1"/>
    <col min="35" max="37" width="9.57421875" style="31" bestFit="1" customWidth="1"/>
    <col min="38" max="38" width="12.28125" style="355" customWidth="1"/>
    <col min="39" max="39" width="9.57421875" style="31" bestFit="1" customWidth="1"/>
    <col min="40" max="40" width="15.140625" style="82" customWidth="1"/>
    <col min="41" max="41" width="9.421875" style="31" bestFit="1" customWidth="1"/>
    <col min="42" max="42" width="12.7109375" style="355" bestFit="1" customWidth="1"/>
    <col min="43" max="43" width="9.421875" style="31" bestFit="1" customWidth="1"/>
    <col min="44" max="44" width="26.8515625" style="6" customWidth="1" collapsed="1"/>
    <col min="45" max="16384" width="9.140625" style="31" customWidth="1"/>
  </cols>
  <sheetData>
    <row r="1" spans="2:33" ht="15.75">
      <c r="B1" s="80" t="s">
        <v>179</v>
      </c>
      <c r="AG1" s="81"/>
    </row>
    <row r="2" ht="16.5" thickBot="1">
      <c r="B2" s="80" t="s">
        <v>142</v>
      </c>
    </row>
    <row r="3" spans="5:28" ht="13.5" thickBot="1">
      <c r="E3" s="83"/>
      <c r="F3" s="83"/>
      <c r="G3" s="83"/>
      <c r="H3" s="83"/>
      <c r="I3" s="83"/>
      <c r="J3" s="84" t="s">
        <v>36</v>
      </c>
      <c r="K3" s="85"/>
      <c r="L3" s="85"/>
      <c r="M3" s="85"/>
      <c r="N3" s="85"/>
      <c r="O3" s="85"/>
      <c r="P3" s="85"/>
      <c r="Q3" s="85"/>
      <c r="R3" s="85"/>
      <c r="S3" s="85"/>
      <c r="T3" s="85"/>
      <c r="U3" s="85"/>
      <c r="V3" s="85"/>
      <c r="W3" s="85"/>
      <c r="X3" s="86"/>
      <c r="Y3" s="87"/>
      <c r="Z3" s="88"/>
      <c r="AA3" s="88"/>
      <c r="AB3" s="89"/>
    </row>
    <row r="4" spans="5:43" ht="40.5" customHeight="1" thickBot="1">
      <c r="E4" s="61" t="s">
        <v>33</v>
      </c>
      <c r="F4" s="62"/>
      <c r="G4" s="62"/>
      <c r="H4" s="62"/>
      <c r="I4" s="63"/>
      <c r="J4" s="61" t="s">
        <v>679</v>
      </c>
      <c r="K4" s="85"/>
      <c r="L4" s="86"/>
      <c r="M4" s="90" t="s">
        <v>677</v>
      </c>
      <c r="N4" s="90"/>
      <c r="O4" s="91"/>
      <c r="P4" s="90" t="s">
        <v>680</v>
      </c>
      <c r="Q4" s="90"/>
      <c r="R4" s="91"/>
      <c r="S4" s="90" t="s">
        <v>675</v>
      </c>
      <c r="T4" s="90"/>
      <c r="U4" s="91"/>
      <c r="V4" s="85" t="s">
        <v>1197</v>
      </c>
      <c r="W4" s="86"/>
      <c r="X4" s="92"/>
      <c r="Y4" s="93" t="s">
        <v>34</v>
      </c>
      <c r="Z4" s="94"/>
      <c r="AA4" s="94"/>
      <c r="AB4" s="95"/>
      <c r="AC4" s="36" t="s">
        <v>956</v>
      </c>
      <c r="AD4" s="36"/>
      <c r="AE4" s="356"/>
      <c r="AF4" s="36" t="s">
        <v>1284</v>
      </c>
      <c r="AG4" s="36"/>
      <c r="AH4" s="356"/>
      <c r="AI4" s="35" t="s">
        <v>1081</v>
      </c>
      <c r="AJ4" s="35"/>
      <c r="AK4" s="35"/>
      <c r="AL4" s="360" t="s">
        <v>346</v>
      </c>
      <c r="AM4" s="35"/>
      <c r="AN4" s="55"/>
      <c r="AO4" s="35" t="s">
        <v>662</v>
      </c>
      <c r="AP4" s="360"/>
      <c r="AQ4" s="35"/>
    </row>
    <row r="5" spans="2:44" ht="409.5" thickBot="1">
      <c r="B5" s="96" t="s">
        <v>835</v>
      </c>
      <c r="C5" s="96" t="s">
        <v>834</v>
      </c>
      <c r="D5" s="96" t="s">
        <v>836</v>
      </c>
      <c r="E5" s="11" t="s">
        <v>28</v>
      </c>
      <c r="F5" s="12" t="s">
        <v>29</v>
      </c>
      <c r="G5" s="12" t="s">
        <v>30</v>
      </c>
      <c r="H5" s="12" t="s">
        <v>31</v>
      </c>
      <c r="I5" s="13" t="s">
        <v>668</v>
      </c>
      <c r="J5" s="97" t="s">
        <v>37</v>
      </c>
      <c r="K5" s="98" t="s">
        <v>38</v>
      </c>
      <c r="L5" s="99" t="s">
        <v>39</v>
      </c>
      <c r="M5" s="97" t="s">
        <v>678</v>
      </c>
      <c r="N5" s="98" t="s">
        <v>38</v>
      </c>
      <c r="O5" s="99" t="s">
        <v>39</v>
      </c>
      <c r="P5" s="97" t="s">
        <v>37</v>
      </c>
      <c r="Q5" s="98" t="s">
        <v>38</v>
      </c>
      <c r="R5" s="99" t="s">
        <v>39</v>
      </c>
      <c r="S5" s="97" t="s">
        <v>678</v>
      </c>
      <c r="T5" s="98" t="s">
        <v>38</v>
      </c>
      <c r="U5" s="99" t="s">
        <v>39</v>
      </c>
      <c r="V5" s="100" t="s">
        <v>40</v>
      </c>
      <c r="W5" s="99" t="s">
        <v>41</v>
      </c>
      <c r="X5" s="101" t="s">
        <v>35</v>
      </c>
      <c r="Y5" s="97" t="s">
        <v>1306</v>
      </c>
      <c r="Z5" s="98" t="s">
        <v>681</v>
      </c>
      <c r="AA5" s="98" t="s">
        <v>32</v>
      </c>
      <c r="AB5" s="102" t="s">
        <v>682</v>
      </c>
      <c r="AC5" s="103" t="s">
        <v>777</v>
      </c>
      <c r="AD5" s="104" t="s">
        <v>778</v>
      </c>
      <c r="AE5" s="359" t="s">
        <v>779</v>
      </c>
      <c r="AF5" s="103" t="s">
        <v>777</v>
      </c>
      <c r="AG5" s="104" t="s">
        <v>778</v>
      </c>
      <c r="AH5" s="359" t="s">
        <v>779</v>
      </c>
      <c r="AI5" s="134" t="s">
        <v>1266</v>
      </c>
      <c r="AJ5" s="135" t="s">
        <v>1356</v>
      </c>
      <c r="AK5" s="139" t="s">
        <v>1357</v>
      </c>
      <c r="AL5" s="517" t="s">
        <v>1266</v>
      </c>
      <c r="AM5" s="111" t="s">
        <v>1356</v>
      </c>
      <c r="AN5" s="520" t="s">
        <v>1357</v>
      </c>
      <c r="AO5" s="109" t="s">
        <v>1358</v>
      </c>
      <c r="AP5" s="600" t="s">
        <v>650</v>
      </c>
      <c r="AQ5" s="140" t="s">
        <v>517</v>
      </c>
      <c r="AR5" s="8" t="s">
        <v>676</v>
      </c>
    </row>
    <row r="6" spans="1:44" ht="165.75">
      <c r="A6" s="147" t="str">
        <f>"SCG 0"&amp;1</f>
        <v>SCG 01</v>
      </c>
      <c r="B6" s="382" t="s">
        <v>180</v>
      </c>
      <c r="C6" s="59" t="s">
        <v>615</v>
      </c>
      <c r="D6" s="58" t="s">
        <v>181</v>
      </c>
      <c r="E6" s="73" t="s">
        <v>969</v>
      </c>
      <c r="F6" s="74"/>
      <c r="G6" s="75"/>
      <c r="H6" s="73"/>
      <c r="I6" s="74"/>
      <c r="J6" s="48" t="s">
        <v>1109</v>
      </c>
      <c r="K6" s="48" t="s">
        <v>1110</v>
      </c>
      <c r="L6" s="182" t="s">
        <v>1111</v>
      </c>
      <c r="M6" s="48" t="s">
        <v>982</v>
      </c>
      <c r="N6" s="48"/>
      <c r="O6" s="48"/>
      <c r="P6" s="48" t="s">
        <v>1112</v>
      </c>
      <c r="Q6" s="48" t="s">
        <v>1113</v>
      </c>
      <c r="R6" s="182" t="s">
        <v>1114</v>
      </c>
      <c r="S6" s="48" t="s">
        <v>1115</v>
      </c>
      <c r="T6" s="48" t="s">
        <v>1116</v>
      </c>
      <c r="U6" s="182" t="s">
        <v>1117</v>
      </c>
      <c r="V6" s="73" t="s">
        <v>1216</v>
      </c>
      <c r="W6" s="48" t="s">
        <v>1118</v>
      </c>
      <c r="X6" s="48" t="s">
        <v>1119</v>
      </c>
      <c r="Y6" s="73"/>
      <c r="Z6" s="73" t="s">
        <v>969</v>
      </c>
      <c r="AA6" s="73"/>
      <c r="AB6" s="76"/>
      <c r="AC6" s="189" t="s">
        <v>982</v>
      </c>
      <c r="AD6" s="189" t="s">
        <v>982</v>
      </c>
      <c r="AE6" s="597">
        <v>100</v>
      </c>
      <c r="AF6" s="189" t="s">
        <v>982</v>
      </c>
      <c r="AG6" s="189" t="s">
        <v>982</v>
      </c>
      <c r="AH6" s="597">
        <v>100</v>
      </c>
      <c r="AI6" s="190">
        <v>0</v>
      </c>
      <c r="AJ6" s="190">
        <v>0</v>
      </c>
      <c r="AK6" s="190">
        <v>0</v>
      </c>
      <c r="AL6" s="673">
        <v>544</v>
      </c>
      <c r="AM6" s="647">
        <v>0.45</v>
      </c>
      <c r="AN6" s="649">
        <v>11</v>
      </c>
      <c r="AO6" s="672">
        <f>SUM(AH6:AH7)/AL6</f>
        <v>0.7352941176470589</v>
      </c>
      <c r="AP6" s="673">
        <f>SUM(AH6:AH7)/AM6</f>
        <v>888.8888888888889</v>
      </c>
      <c r="AQ6" s="672">
        <f>SUM(AH6:AH7)/AN6</f>
        <v>36.36363636363637</v>
      </c>
      <c r="AR6" s="191"/>
    </row>
    <row r="7" spans="1:44" ht="63.75">
      <c r="A7" s="147" t="str">
        <f>"SCG 0"&amp;2</f>
        <v>SCG 02</v>
      </c>
      <c r="B7" s="383" t="s">
        <v>183</v>
      </c>
      <c r="C7" s="41" t="s">
        <v>615</v>
      </c>
      <c r="D7" s="41" t="s">
        <v>185</v>
      </c>
      <c r="E7" s="27" t="s">
        <v>969</v>
      </c>
      <c r="F7" s="28" t="s">
        <v>969</v>
      </c>
      <c r="G7" s="29"/>
      <c r="H7" s="27"/>
      <c r="I7" s="28"/>
      <c r="J7" s="48"/>
      <c r="K7" s="48"/>
      <c r="L7" s="182"/>
      <c r="M7" s="48"/>
      <c r="N7" s="48"/>
      <c r="O7" s="48"/>
      <c r="P7" s="48"/>
      <c r="Q7" s="48"/>
      <c r="R7" s="182"/>
      <c r="S7" s="48"/>
      <c r="T7" s="48"/>
      <c r="U7" s="182"/>
      <c r="V7" s="73"/>
      <c r="W7" s="48"/>
      <c r="X7" s="48"/>
      <c r="Y7" s="73"/>
      <c r="Z7" s="73"/>
      <c r="AA7" s="73"/>
      <c r="AB7" s="76"/>
      <c r="AC7" s="189" t="s">
        <v>982</v>
      </c>
      <c r="AD7" s="189" t="s">
        <v>982</v>
      </c>
      <c r="AE7" s="597">
        <f>503-AE6</f>
        <v>403</v>
      </c>
      <c r="AF7" s="189" t="s">
        <v>982</v>
      </c>
      <c r="AG7" s="189" t="s">
        <v>982</v>
      </c>
      <c r="AH7" s="518">
        <f>400-AH6</f>
        <v>300</v>
      </c>
      <c r="AI7" s="190">
        <v>0</v>
      </c>
      <c r="AJ7" s="190">
        <v>0</v>
      </c>
      <c r="AK7" s="190">
        <v>0</v>
      </c>
      <c r="AL7" s="671"/>
      <c r="AM7" s="648"/>
      <c r="AN7" s="646"/>
      <c r="AO7" s="665"/>
      <c r="AP7" s="671"/>
      <c r="AQ7" s="665"/>
      <c r="AR7" s="43"/>
    </row>
    <row r="8" spans="1:44" ht="102">
      <c r="A8" s="147" t="str">
        <f>"SCG 0"&amp;3</f>
        <v>SCG 03</v>
      </c>
      <c r="B8" s="383" t="s">
        <v>184</v>
      </c>
      <c r="C8" s="41" t="s">
        <v>295</v>
      </c>
      <c r="D8" s="41" t="s">
        <v>186</v>
      </c>
      <c r="E8" s="27" t="s">
        <v>969</v>
      </c>
      <c r="F8" s="28"/>
      <c r="G8" s="29"/>
      <c r="H8" s="27"/>
      <c r="I8" s="28"/>
      <c r="J8" s="48"/>
      <c r="K8" s="48"/>
      <c r="L8" s="182"/>
      <c r="M8" s="48"/>
      <c r="N8" s="48"/>
      <c r="O8" s="48"/>
      <c r="P8" s="48"/>
      <c r="Q8" s="48"/>
      <c r="R8" s="182"/>
      <c r="S8" s="48"/>
      <c r="T8" s="48"/>
      <c r="U8" s="182"/>
      <c r="V8" s="73"/>
      <c r="W8" s="48"/>
      <c r="X8" s="48"/>
      <c r="Y8" s="73"/>
      <c r="Z8" s="73"/>
      <c r="AA8" s="73"/>
      <c r="AB8" s="76"/>
      <c r="AC8" s="189" t="s">
        <v>982</v>
      </c>
      <c r="AD8" s="189" t="s">
        <v>982</v>
      </c>
      <c r="AE8" s="597">
        <v>654</v>
      </c>
      <c r="AF8" s="189" t="s">
        <v>982</v>
      </c>
      <c r="AG8" s="189" t="s">
        <v>982</v>
      </c>
      <c r="AH8" s="518">
        <v>783</v>
      </c>
      <c r="AI8" s="190" t="s">
        <v>982</v>
      </c>
      <c r="AJ8" s="190" t="s">
        <v>982</v>
      </c>
      <c r="AK8" s="190" t="s">
        <v>982</v>
      </c>
      <c r="AL8" s="518">
        <v>81</v>
      </c>
      <c r="AM8" s="190">
        <v>0.1</v>
      </c>
      <c r="AN8" s="515">
        <v>1217</v>
      </c>
      <c r="AO8" s="190">
        <f>AH8/AL8</f>
        <v>9.666666666666666</v>
      </c>
      <c r="AP8" s="518">
        <f>AH8/AM8</f>
        <v>7830</v>
      </c>
      <c r="AQ8" s="190">
        <f>AH8/AN8</f>
        <v>0.6433853738701726</v>
      </c>
      <c r="AR8" s="43"/>
    </row>
    <row r="9" spans="1:44" ht="165.75">
      <c r="A9" s="147" t="str">
        <f>"SCG 0"&amp;4</f>
        <v>SCG 04</v>
      </c>
      <c r="B9" s="382" t="s">
        <v>865</v>
      </c>
      <c r="C9" s="59" t="s">
        <v>187</v>
      </c>
      <c r="D9" s="58" t="s">
        <v>188</v>
      </c>
      <c r="E9" s="73" t="s">
        <v>969</v>
      </c>
      <c r="F9" s="74" t="s">
        <v>969</v>
      </c>
      <c r="G9" s="29"/>
      <c r="H9" s="27"/>
      <c r="I9" s="28"/>
      <c r="J9" s="48"/>
      <c r="K9" s="48"/>
      <c r="L9" s="182"/>
      <c r="M9" s="48"/>
      <c r="N9" s="48"/>
      <c r="O9" s="48"/>
      <c r="P9" s="48"/>
      <c r="Q9" s="48"/>
      <c r="R9" s="182"/>
      <c r="S9" s="48"/>
      <c r="T9" s="48"/>
      <c r="U9" s="182"/>
      <c r="V9" s="73"/>
      <c r="W9" s="48"/>
      <c r="X9" s="48"/>
      <c r="Y9" s="73"/>
      <c r="Z9" s="73"/>
      <c r="AA9" s="73"/>
      <c r="AB9" s="76"/>
      <c r="AC9" s="189" t="s">
        <v>982</v>
      </c>
      <c r="AD9" s="189">
        <v>6300</v>
      </c>
      <c r="AE9" s="597">
        <f>SUM(AC9:AD9)</f>
        <v>6300</v>
      </c>
      <c r="AF9" s="189" t="s">
        <v>982</v>
      </c>
      <c r="AG9" s="189" t="s">
        <v>982</v>
      </c>
      <c r="AH9" s="678">
        <v>5457</v>
      </c>
      <c r="AI9" s="190" t="s">
        <v>982</v>
      </c>
      <c r="AJ9" s="190" t="s">
        <v>982</v>
      </c>
      <c r="AK9" s="190" t="s">
        <v>982</v>
      </c>
      <c r="AL9" s="518">
        <v>597.826</v>
      </c>
      <c r="AM9" s="190">
        <v>0.663</v>
      </c>
      <c r="AN9" s="515">
        <v>1163.175</v>
      </c>
      <c r="AO9" s="664">
        <f>AH9/SUM(AL9:AL10)</f>
        <v>4.777923315075017</v>
      </c>
      <c r="AP9" s="669">
        <f>AH9/SUM(AM9:AM10)</f>
        <v>4197.692307692308</v>
      </c>
      <c r="AQ9" s="664">
        <f>AH9/SUM(AN9:AN10)</f>
        <v>4.647083118663698</v>
      </c>
      <c r="AR9" s="43" t="s">
        <v>866</v>
      </c>
    </row>
    <row r="10" spans="1:44" ht="63.75">
      <c r="A10" s="147" t="str">
        <f>"SCG 0"&amp;5</f>
        <v>SCG 05</v>
      </c>
      <c r="B10" s="383" t="s">
        <v>1073</v>
      </c>
      <c r="C10" s="41" t="s">
        <v>189</v>
      </c>
      <c r="D10" s="41" t="s">
        <v>190</v>
      </c>
      <c r="E10" s="27" t="s">
        <v>969</v>
      </c>
      <c r="F10" s="28"/>
      <c r="G10" s="29"/>
      <c r="H10" s="27"/>
      <c r="I10" s="28"/>
      <c r="J10" s="48"/>
      <c r="K10" s="48"/>
      <c r="L10" s="182"/>
      <c r="M10" s="48"/>
      <c r="N10" s="48"/>
      <c r="O10" s="48"/>
      <c r="P10" s="48"/>
      <c r="Q10" s="48"/>
      <c r="R10" s="182"/>
      <c r="S10" s="48"/>
      <c r="T10" s="48"/>
      <c r="U10" s="182"/>
      <c r="V10" s="73"/>
      <c r="W10" s="48"/>
      <c r="X10" s="48"/>
      <c r="Y10" s="73"/>
      <c r="Z10" s="73"/>
      <c r="AA10" s="73"/>
      <c r="AB10" s="76"/>
      <c r="AC10" s="189" t="s">
        <v>982</v>
      </c>
      <c r="AD10" s="189" t="s">
        <v>982</v>
      </c>
      <c r="AE10" s="597"/>
      <c r="AF10" s="189" t="s">
        <v>982</v>
      </c>
      <c r="AG10" s="189" t="s">
        <v>982</v>
      </c>
      <c r="AH10" s="680"/>
      <c r="AI10" s="190" t="s">
        <v>982</v>
      </c>
      <c r="AJ10" s="190" t="s">
        <v>982</v>
      </c>
      <c r="AK10" s="190" t="s">
        <v>982</v>
      </c>
      <c r="AL10" s="518">
        <v>544.302</v>
      </c>
      <c r="AM10" s="190">
        <v>0.637</v>
      </c>
      <c r="AN10" s="515">
        <v>11.11</v>
      </c>
      <c r="AO10" s="665"/>
      <c r="AP10" s="671"/>
      <c r="AQ10" s="665"/>
      <c r="AR10" s="43"/>
    </row>
    <row r="11" spans="1:44" ht="165.75">
      <c r="A11" s="147" t="str">
        <f>"SCG 0"&amp;6</f>
        <v>SCG 06</v>
      </c>
      <c r="B11" s="383" t="s">
        <v>191</v>
      </c>
      <c r="C11" s="41" t="s">
        <v>189</v>
      </c>
      <c r="D11" s="41" t="s">
        <v>192</v>
      </c>
      <c r="E11" s="27" t="s">
        <v>969</v>
      </c>
      <c r="F11" s="28"/>
      <c r="G11" s="29"/>
      <c r="H11" s="27"/>
      <c r="I11" s="28"/>
      <c r="J11" s="1" t="s">
        <v>1109</v>
      </c>
      <c r="K11" s="1" t="s">
        <v>1110</v>
      </c>
      <c r="L11" s="3" t="s">
        <v>1111</v>
      </c>
      <c r="M11" s="1" t="s">
        <v>1120</v>
      </c>
      <c r="N11" s="1" t="s">
        <v>1121</v>
      </c>
      <c r="O11" s="3" t="s">
        <v>1122</v>
      </c>
      <c r="P11" s="1" t="s">
        <v>1112</v>
      </c>
      <c r="Q11" s="1" t="s">
        <v>1113</v>
      </c>
      <c r="R11" s="3" t="s">
        <v>1114</v>
      </c>
      <c r="S11" s="1" t="s">
        <v>1115</v>
      </c>
      <c r="T11" s="1" t="s">
        <v>1116</v>
      </c>
      <c r="U11" s="3" t="s">
        <v>1117</v>
      </c>
      <c r="V11" s="27" t="s">
        <v>1216</v>
      </c>
      <c r="W11" s="1" t="s">
        <v>1123</v>
      </c>
      <c r="X11" s="1" t="s">
        <v>1119</v>
      </c>
      <c r="Y11" s="27"/>
      <c r="Z11" s="27" t="s">
        <v>969</v>
      </c>
      <c r="AA11" s="27"/>
      <c r="AB11" s="27"/>
      <c r="AC11" s="189" t="s">
        <v>982</v>
      </c>
      <c r="AD11" s="189" t="s">
        <v>982</v>
      </c>
      <c r="AE11" s="599"/>
      <c r="AF11" s="189" t="s">
        <v>982</v>
      </c>
      <c r="AG11" s="189" t="s">
        <v>982</v>
      </c>
      <c r="AH11" s="675">
        <f>1207-(AH15+AH16)</f>
        <v>624</v>
      </c>
      <c r="AI11" s="190" t="s">
        <v>982</v>
      </c>
      <c r="AJ11" s="190" t="s">
        <v>982</v>
      </c>
      <c r="AK11" s="190" t="s">
        <v>982</v>
      </c>
      <c r="AL11" s="402">
        <v>0</v>
      </c>
      <c r="AM11" s="510">
        <v>0</v>
      </c>
      <c r="AN11" s="193">
        <v>374.619</v>
      </c>
      <c r="AO11" s="664">
        <f>AH11/SUM(AL11:AL14)</f>
        <v>7.673294720920795</v>
      </c>
      <c r="AP11" s="669">
        <f>AH11/SUM(AM11:AM14)</f>
        <v>6568.421052631579</v>
      </c>
      <c r="AQ11" s="664">
        <f>AH11/SUM(AN11:AN13)</f>
        <v>1.611799196683413</v>
      </c>
      <c r="AR11" s="43" t="s">
        <v>1236</v>
      </c>
    </row>
    <row r="12" spans="1:44" ht="25.5">
      <c r="A12" s="147" t="str">
        <f>"SCG 0"&amp;7</f>
        <v>SCG 07</v>
      </c>
      <c r="B12" s="383" t="s">
        <v>373</v>
      </c>
      <c r="C12" s="41" t="s">
        <v>193</v>
      </c>
      <c r="D12" s="41" t="s">
        <v>1051</v>
      </c>
      <c r="E12" s="27" t="s">
        <v>969</v>
      </c>
      <c r="F12" s="28"/>
      <c r="G12" s="29"/>
      <c r="H12" s="27"/>
      <c r="I12" s="28"/>
      <c r="J12" s="1"/>
      <c r="K12" s="1"/>
      <c r="L12" s="3"/>
      <c r="M12" s="1"/>
      <c r="N12" s="1"/>
      <c r="O12" s="3"/>
      <c r="P12" s="1"/>
      <c r="Q12" s="1"/>
      <c r="R12" s="3"/>
      <c r="S12" s="1"/>
      <c r="T12" s="1"/>
      <c r="U12" s="3"/>
      <c r="V12" s="27"/>
      <c r="W12" s="1"/>
      <c r="X12" s="1"/>
      <c r="Y12" s="27"/>
      <c r="Z12" s="27"/>
      <c r="AA12" s="27"/>
      <c r="AB12" s="27"/>
      <c r="AC12" s="189" t="s">
        <v>982</v>
      </c>
      <c r="AD12" s="189" t="s">
        <v>982</v>
      </c>
      <c r="AE12" s="599">
        <v>150</v>
      </c>
      <c r="AF12" s="189" t="s">
        <v>982</v>
      </c>
      <c r="AG12" s="189" t="s">
        <v>982</v>
      </c>
      <c r="AH12" s="676"/>
      <c r="AI12" s="190" t="s">
        <v>982</v>
      </c>
      <c r="AJ12" s="190" t="s">
        <v>982</v>
      </c>
      <c r="AK12" s="190" t="s">
        <v>982</v>
      </c>
      <c r="AL12" s="402">
        <v>0</v>
      </c>
      <c r="AM12" s="510">
        <v>0</v>
      </c>
      <c r="AN12" s="193">
        <v>0</v>
      </c>
      <c r="AO12" s="668"/>
      <c r="AP12" s="670"/>
      <c r="AQ12" s="668"/>
      <c r="AR12" s="43"/>
    </row>
    <row r="13" spans="1:44" ht="76.5">
      <c r="A13" s="147" t="str">
        <f>"SCG 0"&amp;8</f>
        <v>SCG 08</v>
      </c>
      <c r="B13" s="383" t="s">
        <v>1074</v>
      </c>
      <c r="C13" s="41" t="s">
        <v>193</v>
      </c>
      <c r="D13" s="41" t="s">
        <v>1052</v>
      </c>
      <c r="E13" s="27" t="s">
        <v>969</v>
      </c>
      <c r="F13" s="28"/>
      <c r="G13" s="29"/>
      <c r="H13" s="27"/>
      <c r="I13" s="28"/>
      <c r="J13" s="1"/>
      <c r="K13" s="1"/>
      <c r="L13" s="3"/>
      <c r="M13" s="1"/>
      <c r="N13" s="1"/>
      <c r="O13" s="3"/>
      <c r="P13" s="1"/>
      <c r="Q13" s="1"/>
      <c r="R13" s="3"/>
      <c r="S13" s="1"/>
      <c r="T13" s="1"/>
      <c r="U13" s="3"/>
      <c r="V13" s="27"/>
      <c r="W13" s="1"/>
      <c r="X13" s="1"/>
      <c r="Y13" s="27"/>
      <c r="Z13" s="27"/>
      <c r="AA13" s="27"/>
      <c r="AB13" s="27"/>
      <c r="AC13" s="189" t="s">
        <v>982</v>
      </c>
      <c r="AD13" s="189" t="s">
        <v>982</v>
      </c>
      <c r="AE13" s="599"/>
      <c r="AF13" s="189" t="s">
        <v>982</v>
      </c>
      <c r="AG13" s="189" t="s">
        <v>982</v>
      </c>
      <c r="AH13" s="676"/>
      <c r="AI13" s="190" t="s">
        <v>982</v>
      </c>
      <c r="AJ13" s="190" t="s">
        <v>982</v>
      </c>
      <c r="AK13" s="190" t="s">
        <v>982</v>
      </c>
      <c r="AL13" s="402">
        <v>81.321</v>
      </c>
      <c r="AM13" s="192">
        <v>0.095</v>
      </c>
      <c r="AN13" s="193">
        <v>12.526</v>
      </c>
      <c r="AO13" s="668"/>
      <c r="AP13" s="670"/>
      <c r="AQ13" s="668"/>
      <c r="AR13" s="43"/>
    </row>
    <row r="14" spans="1:44" ht="165.75">
      <c r="A14" s="147" t="str">
        <f>"SCG 0"&amp;9</f>
        <v>SCG 09</v>
      </c>
      <c r="B14" s="383" t="s">
        <v>1053</v>
      </c>
      <c r="C14" s="41" t="s">
        <v>193</v>
      </c>
      <c r="D14" s="41" t="s">
        <v>1054</v>
      </c>
      <c r="E14" s="27" t="s">
        <v>969</v>
      </c>
      <c r="F14" s="28"/>
      <c r="G14" s="29"/>
      <c r="H14" s="27"/>
      <c r="I14" s="28"/>
      <c r="J14" s="1" t="s">
        <v>607</v>
      </c>
      <c r="K14" s="1" t="s">
        <v>608</v>
      </c>
      <c r="L14" s="3" t="s">
        <v>609</v>
      </c>
      <c r="M14" s="1" t="s">
        <v>982</v>
      </c>
      <c r="N14" s="1"/>
      <c r="O14" s="1"/>
      <c r="P14" s="1" t="s">
        <v>1112</v>
      </c>
      <c r="Q14" s="1" t="s">
        <v>1113</v>
      </c>
      <c r="R14" s="3" t="s">
        <v>1114</v>
      </c>
      <c r="S14" s="1" t="s">
        <v>867</v>
      </c>
      <c r="T14" s="1" t="s">
        <v>610</v>
      </c>
      <c r="U14" s="3" t="s">
        <v>1091</v>
      </c>
      <c r="V14" s="27" t="s">
        <v>1216</v>
      </c>
      <c r="W14" s="1" t="s">
        <v>611</v>
      </c>
      <c r="X14" s="1" t="s">
        <v>1119</v>
      </c>
      <c r="Y14" s="27" t="s">
        <v>969</v>
      </c>
      <c r="Z14" s="27"/>
      <c r="AA14" s="27"/>
      <c r="AB14" s="27"/>
      <c r="AC14" s="189" t="s">
        <v>982</v>
      </c>
      <c r="AD14" s="189" t="s">
        <v>982</v>
      </c>
      <c r="AE14" s="599">
        <v>643</v>
      </c>
      <c r="AF14" s="189" t="s">
        <v>982</v>
      </c>
      <c r="AG14" s="189" t="s">
        <v>982</v>
      </c>
      <c r="AH14" s="677"/>
      <c r="AI14" s="190" t="s">
        <v>982</v>
      </c>
      <c r="AJ14" s="190" t="s">
        <v>982</v>
      </c>
      <c r="AK14" s="190" t="s">
        <v>982</v>
      </c>
      <c r="AL14" s="402">
        <v>0</v>
      </c>
      <c r="AM14" s="510">
        <v>0</v>
      </c>
      <c r="AN14" s="645">
        <f>442-SUM(AN11:AN13)</f>
        <v>54.85499999999996</v>
      </c>
      <c r="AO14" s="665"/>
      <c r="AP14" s="671"/>
      <c r="AQ14" s="665"/>
      <c r="AR14" s="43"/>
    </row>
    <row r="15" spans="1:44" ht="127.5">
      <c r="A15" s="147" t="str">
        <f>"SCG "&amp;10</f>
        <v>SCG 10</v>
      </c>
      <c r="B15" s="383" t="s">
        <v>194</v>
      </c>
      <c r="C15" s="41" t="s">
        <v>1080</v>
      </c>
      <c r="D15" s="41" t="s">
        <v>868</v>
      </c>
      <c r="E15" s="27" t="s">
        <v>969</v>
      </c>
      <c r="F15" s="28"/>
      <c r="G15" s="29"/>
      <c r="H15" s="27"/>
      <c r="I15" s="28"/>
      <c r="J15" s="1"/>
      <c r="K15" s="1"/>
      <c r="L15" s="3"/>
      <c r="M15" s="1"/>
      <c r="N15" s="1"/>
      <c r="O15" s="3"/>
      <c r="P15" s="1"/>
      <c r="Q15" s="1"/>
      <c r="R15" s="3"/>
      <c r="S15" s="1"/>
      <c r="T15" s="1"/>
      <c r="U15" s="3"/>
      <c r="V15" s="27"/>
      <c r="W15" s="1"/>
      <c r="X15" s="1"/>
      <c r="Y15" s="27"/>
      <c r="Z15" s="27"/>
      <c r="AA15" s="27"/>
      <c r="AB15" s="27"/>
      <c r="AC15" s="189" t="s">
        <v>982</v>
      </c>
      <c r="AD15" s="189" t="s">
        <v>982</v>
      </c>
      <c r="AE15" s="599">
        <v>257</v>
      </c>
      <c r="AF15" s="189" t="s">
        <v>982</v>
      </c>
      <c r="AG15" s="189" t="s">
        <v>982</v>
      </c>
      <c r="AH15" s="402">
        <v>57</v>
      </c>
      <c r="AI15" s="190" t="s">
        <v>982</v>
      </c>
      <c r="AJ15" s="190" t="s">
        <v>982</v>
      </c>
      <c r="AK15" s="190" t="s">
        <v>982</v>
      </c>
      <c r="AL15" s="402">
        <v>0</v>
      </c>
      <c r="AM15" s="510">
        <v>0</v>
      </c>
      <c r="AN15" s="646"/>
      <c r="AO15" s="192" t="str">
        <f>IF(OR(AL22=0,AL22="NA"),"NA",$AH22/AL22)</f>
        <v>NA</v>
      </c>
      <c r="AP15" s="402" t="str">
        <f>IF(OR(AM22=0,AM22="NA"),"NA",$AH22/AM22)</f>
        <v>NA</v>
      </c>
      <c r="AQ15" s="192" t="str">
        <f>IF(OR(AN22=0,AN22="NA"),"NA",$AH22/AN22)</f>
        <v>NA</v>
      </c>
      <c r="AR15" s="43" t="s">
        <v>195</v>
      </c>
    </row>
    <row r="16" spans="1:44" ht="165.75">
      <c r="A16" s="147" t="str">
        <f>"SCG "&amp;11</f>
        <v>SCG 11</v>
      </c>
      <c r="B16" s="383" t="s">
        <v>1056</v>
      </c>
      <c r="C16" s="41" t="s">
        <v>1080</v>
      </c>
      <c r="D16" s="41" t="s">
        <v>1138</v>
      </c>
      <c r="E16" s="27" t="s">
        <v>969</v>
      </c>
      <c r="F16" s="28" t="s">
        <v>969</v>
      </c>
      <c r="G16" s="29"/>
      <c r="H16" s="27"/>
      <c r="I16" s="28"/>
      <c r="J16" s="1" t="s">
        <v>1109</v>
      </c>
      <c r="K16" s="1" t="s">
        <v>1110</v>
      </c>
      <c r="L16" s="3" t="s">
        <v>1111</v>
      </c>
      <c r="M16" s="1" t="s">
        <v>565</v>
      </c>
      <c r="N16" s="30" t="s">
        <v>1124</v>
      </c>
      <c r="O16" s="30" t="s">
        <v>1124</v>
      </c>
      <c r="P16" s="1" t="s">
        <v>1112</v>
      </c>
      <c r="Q16" s="1" t="s">
        <v>1113</v>
      </c>
      <c r="R16" s="3" t="s">
        <v>1114</v>
      </c>
      <c r="S16" s="1" t="s">
        <v>1115</v>
      </c>
      <c r="T16" s="1" t="s">
        <v>1116</v>
      </c>
      <c r="U16" s="3" t="s">
        <v>1117</v>
      </c>
      <c r="V16" s="27" t="s">
        <v>1216</v>
      </c>
      <c r="W16" s="1" t="s">
        <v>1123</v>
      </c>
      <c r="X16" s="1" t="s">
        <v>1119</v>
      </c>
      <c r="Y16" s="27"/>
      <c r="Z16" s="27" t="s">
        <v>969</v>
      </c>
      <c r="AA16" s="27"/>
      <c r="AB16" s="27"/>
      <c r="AC16" s="189" t="s">
        <v>982</v>
      </c>
      <c r="AD16" s="189">
        <v>300</v>
      </c>
      <c r="AE16" s="599"/>
      <c r="AF16" s="189" t="s">
        <v>982</v>
      </c>
      <c r="AG16" s="189">
        <v>526</v>
      </c>
      <c r="AH16" s="402">
        <v>526</v>
      </c>
      <c r="AI16" s="190" t="s">
        <v>982</v>
      </c>
      <c r="AJ16" s="190" t="s">
        <v>982</v>
      </c>
      <c r="AK16" s="190" t="s">
        <v>982</v>
      </c>
      <c r="AL16" s="402">
        <v>0</v>
      </c>
      <c r="AM16" s="510">
        <v>0</v>
      </c>
      <c r="AN16" s="193">
        <v>108.8</v>
      </c>
      <c r="AO16" s="192" t="s">
        <v>982</v>
      </c>
      <c r="AP16" s="402" t="str">
        <f>IF(OR(AM23=0,AM23="NA"),"NA",$AH23/AM23)</f>
        <v>NA</v>
      </c>
      <c r="AQ16" s="192">
        <f>AH16/AN16</f>
        <v>4.834558823529412</v>
      </c>
      <c r="AR16" s="43"/>
    </row>
    <row r="17" spans="1:44" ht="12.75">
      <c r="A17" s="147"/>
      <c r="B17" s="384" t="s">
        <v>1147</v>
      </c>
      <c r="C17" s="257" t="s">
        <v>165</v>
      </c>
      <c r="D17" s="257"/>
      <c r="E17" s="352"/>
      <c r="F17" s="352"/>
      <c r="G17" s="375"/>
      <c r="H17" s="352"/>
      <c r="I17" s="352"/>
      <c r="J17" s="267"/>
      <c r="K17" s="267"/>
      <c r="L17" s="376"/>
      <c r="M17" s="267"/>
      <c r="N17" s="385"/>
      <c r="O17" s="385"/>
      <c r="P17" s="267"/>
      <c r="Q17" s="267"/>
      <c r="R17" s="376"/>
      <c r="S17" s="267"/>
      <c r="T17" s="267"/>
      <c r="U17" s="376"/>
      <c r="V17" s="352"/>
      <c r="W17" s="267"/>
      <c r="X17" s="267"/>
      <c r="Y17" s="352"/>
      <c r="Z17" s="352"/>
      <c r="AA17" s="352"/>
      <c r="AB17" s="352"/>
      <c r="AC17" s="386">
        <f>SUM(AC6:AC16)</f>
        <v>0</v>
      </c>
      <c r="AD17" s="386">
        <f aca="true" t="shared" si="0" ref="AD17:AN17">SUM(AD6:AD16)</f>
        <v>6600</v>
      </c>
      <c r="AE17" s="519">
        <f t="shared" si="0"/>
        <v>8507</v>
      </c>
      <c r="AF17" s="386">
        <f t="shared" si="0"/>
        <v>0</v>
      </c>
      <c r="AG17" s="386">
        <f t="shared" si="0"/>
        <v>526</v>
      </c>
      <c r="AH17" s="519">
        <f t="shared" si="0"/>
        <v>7847</v>
      </c>
      <c r="AI17" s="386">
        <f t="shared" si="0"/>
        <v>0</v>
      </c>
      <c r="AJ17" s="386">
        <f t="shared" si="0"/>
        <v>0</v>
      </c>
      <c r="AK17" s="386">
        <f t="shared" si="0"/>
        <v>0</v>
      </c>
      <c r="AL17" s="519">
        <f t="shared" si="0"/>
        <v>1848.449</v>
      </c>
      <c r="AM17" s="386">
        <f t="shared" si="0"/>
        <v>1.945</v>
      </c>
      <c r="AN17" s="516">
        <f t="shared" si="0"/>
        <v>2953.0850000000005</v>
      </c>
      <c r="AO17" s="278">
        <f>AH17/AL17</f>
        <v>4.24518068932386</v>
      </c>
      <c r="AP17" s="270">
        <f>AH17/AM17</f>
        <v>4034.447300771208</v>
      </c>
      <c r="AQ17" s="278">
        <f>AH17/AN17</f>
        <v>2.6572211771757326</v>
      </c>
      <c r="AR17" s="379"/>
    </row>
    <row r="18" spans="1:44" ht="191.25">
      <c r="A18" s="147" t="str">
        <f>"SCG "&amp;12</f>
        <v>SCG 12</v>
      </c>
      <c r="B18" s="383" t="s">
        <v>1057</v>
      </c>
      <c r="C18" s="41" t="s">
        <v>530</v>
      </c>
      <c r="D18" s="41" t="s">
        <v>920</v>
      </c>
      <c r="E18" s="27" t="s">
        <v>969</v>
      </c>
      <c r="F18" s="28"/>
      <c r="G18" s="29"/>
      <c r="H18" s="27"/>
      <c r="I18" s="28"/>
      <c r="J18" s="1"/>
      <c r="K18" s="1"/>
      <c r="L18" s="3"/>
      <c r="M18" s="1"/>
      <c r="N18" s="1"/>
      <c r="O18" s="3"/>
      <c r="P18" s="1"/>
      <c r="Q18" s="1"/>
      <c r="R18" s="3"/>
      <c r="S18" s="1"/>
      <c r="T18" s="1"/>
      <c r="U18" s="3"/>
      <c r="V18" s="27"/>
      <c r="W18" s="1"/>
      <c r="X18" s="1"/>
      <c r="Y18" s="27"/>
      <c r="Z18" s="27"/>
      <c r="AA18" s="27"/>
      <c r="AB18" s="27"/>
      <c r="AC18" s="189" t="s">
        <v>982</v>
      </c>
      <c r="AD18" s="189" t="s">
        <v>982</v>
      </c>
      <c r="AE18" s="599"/>
      <c r="AF18" s="189" t="s">
        <v>982</v>
      </c>
      <c r="AG18" s="189" t="s">
        <v>982</v>
      </c>
      <c r="AH18" s="678">
        <v>2981</v>
      </c>
      <c r="AI18" s="190" t="s">
        <v>982</v>
      </c>
      <c r="AJ18" s="190" t="s">
        <v>982</v>
      </c>
      <c r="AK18" s="190" t="s">
        <v>982</v>
      </c>
      <c r="AL18" s="402">
        <v>0</v>
      </c>
      <c r="AM18" s="510">
        <v>0</v>
      </c>
      <c r="AN18" s="193">
        <v>0</v>
      </c>
      <c r="AO18" s="664">
        <f>AH18/SUM(AL18:AL24)</f>
        <v>2.7148373465447526</v>
      </c>
      <c r="AP18" s="666" t="s">
        <v>982</v>
      </c>
      <c r="AQ18" s="664">
        <f>AH18/SUM(AN18:AN24)</f>
        <v>37.71985322029609</v>
      </c>
      <c r="AR18" s="43"/>
    </row>
    <row r="19" spans="1:44" ht="140.25">
      <c r="A19" s="147" t="str">
        <f>"SCG "&amp;13</f>
        <v>SCG 13</v>
      </c>
      <c r="B19" s="383" t="s">
        <v>1058</v>
      </c>
      <c r="C19" s="41" t="s">
        <v>530</v>
      </c>
      <c r="D19" s="41" t="s">
        <v>196</v>
      </c>
      <c r="E19" s="27" t="s">
        <v>969</v>
      </c>
      <c r="F19" s="28"/>
      <c r="G19" s="29"/>
      <c r="H19" s="27"/>
      <c r="I19" s="28"/>
      <c r="J19" s="1"/>
      <c r="K19" s="1"/>
      <c r="L19" s="3"/>
      <c r="M19" s="1"/>
      <c r="N19" s="1"/>
      <c r="O19" s="3"/>
      <c r="P19" s="1"/>
      <c r="Q19" s="1"/>
      <c r="R19" s="3"/>
      <c r="S19" s="1"/>
      <c r="T19" s="1"/>
      <c r="U19" s="3"/>
      <c r="V19" s="27"/>
      <c r="W19" s="1"/>
      <c r="X19" s="1"/>
      <c r="Y19" s="27"/>
      <c r="Z19" s="27"/>
      <c r="AA19" s="27"/>
      <c r="AB19" s="27"/>
      <c r="AC19" s="189" t="s">
        <v>982</v>
      </c>
      <c r="AD19" s="189" t="s">
        <v>982</v>
      </c>
      <c r="AE19" s="599"/>
      <c r="AF19" s="189" t="s">
        <v>982</v>
      </c>
      <c r="AG19" s="189" t="s">
        <v>982</v>
      </c>
      <c r="AH19" s="679"/>
      <c r="AI19" s="190" t="s">
        <v>982</v>
      </c>
      <c r="AJ19" s="190" t="s">
        <v>982</v>
      </c>
      <c r="AK19" s="190" t="s">
        <v>982</v>
      </c>
      <c r="AL19" s="402">
        <v>0</v>
      </c>
      <c r="AM19" s="510">
        <v>0</v>
      </c>
      <c r="AN19" s="193">
        <v>0</v>
      </c>
      <c r="AO19" s="668"/>
      <c r="AP19" s="674"/>
      <c r="AQ19" s="668"/>
      <c r="AR19" s="43"/>
    </row>
    <row r="20" spans="1:44" ht="51">
      <c r="A20" s="147" t="str">
        <f>"SCG "&amp;14</f>
        <v>SCG 14</v>
      </c>
      <c r="B20" s="383" t="s">
        <v>1059</v>
      </c>
      <c r="C20" s="41" t="s">
        <v>530</v>
      </c>
      <c r="D20" s="41" t="s">
        <v>197</v>
      </c>
      <c r="E20" s="27" t="s">
        <v>969</v>
      </c>
      <c r="F20" s="28"/>
      <c r="G20" s="29"/>
      <c r="H20" s="27"/>
      <c r="I20" s="28"/>
      <c r="J20" s="1"/>
      <c r="K20" s="1"/>
      <c r="L20" s="3"/>
      <c r="M20" s="1"/>
      <c r="N20" s="1"/>
      <c r="O20" s="3"/>
      <c r="P20" s="1"/>
      <c r="Q20" s="1"/>
      <c r="R20" s="3"/>
      <c r="S20" s="1"/>
      <c r="T20" s="1"/>
      <c r="U20" s="3"/>
      <c r="V20" s="27"/>
      <c r="W20" s="1"/>
      <c r="X20" s="1"/>
      <c r="Y20" s="27"/>
      <c r="Z20" s="27"/>
      <c r="AA20" s="27"/>
      <c r="AB20" s="27"/>
      <c r="AC20" s="189" t="s">
        <v>982</v>
      </c>
      <c r="AD20" s="189" t="s">
        <v>982</v>
      </c>
      <c r="AE20" s="599"/>
      <c r="AF20" s="189" t="s">
        <v>982</v>
      </c>
      <c r="AG20" s="189" t="s">
        <v>982</v>
      </c>
      <c r="AH20" s="679"/>
      <c r="AI20" s="190" t="s">
        <v>982</v>
      </c>
      <c r="AJ20" s="190" t="s">
        <v>982</v>
      </c>
      <c r="AK20" s="190" t="s">
        <v>982</v>
      </c>
      <c r="AL20" s="402">
        <v>0</v>
      </c>
      <c r="AM20" s="510">
        <v>0</v>
      </c>
      <c r="AN20" s="193">
        <v>0</v>
      </c>
      <c r="AO20" s="668"/>
      <c r="AP20" s="674"/>
      <c r="AQ20" s="668"/>
      <c r="AR20" s="43"/>
    </row>
    <row r="21" spans="1:44" ht="153">
      <c r="A21" s="147" t="str">
        <f>"SCG "&amp;15</f>
        <v>SCG 15</v>
      </c>
      <c r="B21" s="383" t="s">
        <v>198</v>
      </c>
      <c r="C21" s="41" t="s">
        <v>530</v>
      </c>
      <c r="D21" s="41" t="s">
        <v>921</v>
      </c>
      <c r="E21" s="27"/>
      <c r="F21" s="28"/>
      <c r="G21" s="29"/>
      <c r="H21" s="27"/>
      <c r="I21" s="28"/>
      <c r="J21" s="1"/>
      <c r="K21" s="1"/>
      <c r="L21" s="3"/>
      <c r="M21" s="1"/>
      <c r="N21" s="1"/>
      <c r="O21" s="3"/>
      <c r="P21" s="1"/>
      <c r="Q21" s="1"/>
      <c r="R21" s="3"/>
      <c r="S21" s="1"/>
      <c r="T21" s="1"/>
      <c r="U21" s="3"/>
      <c r="V21" s="27"/>
      <c r="W21" s="1"/>
      <c r="X21" s="1"/>
      <c r="Y21" s="27"/>
      <c r="Z21" s="27"/>
      <c r="AA21" s="27"/>
      <c r="AB21" s="27"/>
      <c r="AC21" s="189"/>
      <c r="AD21" s="189"/>
      <c r="AE21" s="599"/>
      <c r="AF21" s="189"/>
      <c r="AG21" s="189"/>
      <c r="AH21" s="679"/>
      <c r="AI21" s="190"/>
      <c r="AJ21" s="190"/>
      <c r="AK21" s="190"/>
      <c r="AL21" s="402">
        <v>0</v>
      </c>
      <c r="AM21" s="510">
        <v>0</v>
      </c>
      <c r="AN21" s="193">
        <v>0</v>
      </c>
      <c r="AO21" s="668"/>
      <c r="AP21" s="674"/>
      <c r="AQ21" s="668"/>
      <c r="AR21" s="43"/>
    </row>
    <row r="22" spans="1:44" ht="140.25">
      <c r="A22" s="147" t="str">
        <f>"SCG "&amp;16</f>
        <v>SCG 16</v>
      </c>
      <c r="B22" s="383" t="s">
        <v>1060</v>
      </c>
      <c r="C22" s="41" t="s">
        <v>530</v>
      </c>
      <c r="D22" s="41" t="s">
        <v>199</v>
      </c>
      <c r="E22" s="27" t="s">
        <v>969</v>
      </c>
      <c r="F22" s="28"/>
      <c r="G22" s="29"/>
      <c r="H22" s="27"/>
      <c r="I22" s="28"/>
      <c r="J22" s="1"/>
      <c r="K22" s="1"/>
      <c r="L22" s="3"/>
      <c r="M22" s="1"/>
      <c r="N22" s="1"/>
      <c r="O22" s="3"/>
      <c r="P22" s="1"/>
      <c r="Q22" s="1"/>
      <c r="R22" s="3"/>
      <c r="S22" s="1"/>
      <c r="T22" s="1"/>
      <c r="U22" s="3"/>
      <c r="V22" s="27"/>
      <c r="W22" s="1"/>
      <c r="X22" s="1"/>
      <c r="Y22" s="27"/>
      <c r="Z22" s="27"/>
      <c r="AA22" s="27"/>
      <c r="AB22" s="27"/>
      <c r="AC22" s="189" t="s">
        <v>982</v>
      </c>
      <c r="AD22" s="189" t="s">
        <v>982</v>
      </c>
      <c r="AE22" s="599"/>
      <c r="AF22" s="189" t="s">
        <v>982</v>
      </c>
      <c r="AG22" s="189" t="s">
        <v>982</v>
      </c>
      <c r="AH22" s="679"/>
      <c r="AI22" s="190" t="s">
        <v>982</v>
      </c>
      <c r="AJ22" s="190" t="s">
        <v>982</v>
      </c>
      <c r="AK22" s="190" t="s">
        <v>982</v>
      </c>
      <c r="AL22" s="402">
        <v>0</v>
      </c>
      <c r="AM22" s="510">
        <v>0</v>
      </c>
      <c r="AN22" s="193">
        <v>0</v>
      </c>
      <c r="AO22" s="668"/>
      <c r="AP22" s="674"/>
      <c r="AQ22" s="668"/>
      <c r="AR22" s="43"/>
    </row>
    <row r="23" spans="1:44" ht="165.75">
      <c r="A23" s="147" t="str">
        <f>"SCG "&amp;17</f>
        <v>SCG 17</v>
      </c>
      <c r="B23" s="383" t="s">
        <v>577</v>
      </c>
      <c r="C23" s="41" t="s">
        <v>530</v>
      </c>
      <c r="D23" s="41" t="s">
        <v>1061</v>
      </c>
      <c r="E23" s="27" t="s">
        <v>969</v>
      </c>
      <c r="F23" s="28"/>
      <c r="G23" s="29"/>
      <c r="H23" s="27"/>
      <c r="I23" s="28"/>
      <c r="J23" s="1" t="s">
        <v>578</v>
      </c>
      <c r="K23" s="1" t="s">
        <v>579</v>
      </c>
      <c r="L23" s="3" t="s">
        <v>580</v>
      </c>
      <c r="M23" s="1" t="s">
        <v>1120</v>
      </c>
      <c r="N23" s="1" t="s">
        <v>1121</v>
      </c>
      <c r="O23" s="3" t="s">
        <v>1122</v>
      </c>
      <c r="P23" s="1" t="s">
        <v>1112</v>
      </c>
      <c r="Q23" s="1" t="s">
        <v>1113</v>
      </c>
      <c r="R23" s="3" t="s">
        <v>1114</v>
      </c>
      <c r="S23" s="1" t="s">
        <v>1115</v>
      </c>
      <c r="T23" s="1" t="s">
        <v>1116</v>
      </c>
      <c r="U23" s="3" t="s">
        <v>1117</v>
      </c>
      <c r="V23" s="27" t="s">
        <v>1216</v>
      </c>
      <c r="W23" s="1" t="s">
        <v>1123</v>
      </c>
      <c r="X23" s="1" t="s">
        <v>1119</v>
      </c>
      <c r="Y23" s="27" t="s">
        <v>969</v>
      </c>
      <c r="Z23" s="27"/>
      <c r="AA23" s="27"/>
      <c r="AB23" s="27"/>
      <c r="AC23" s="189" t="s">
        <v>982</v>
      </c>
      <c r="AD23" s="189" t="s">
        <v>982</v>
      </c>
      <c r="AE23" s="599"/>
      <c r="AF23" s="189" t="s">
        <v>982</v>
      </c>
      <c r="AG23" s="189" t="s">
        <v>982</v>
      </c>
      <c r="AH23" s="679"/>
      <c r="AI23" s="190" t="s">
        <v>982</v>
      </c>
      <c r="AJ23" s="190" t="s">
        <v>982</v>
      </c>
      <c r="AK23" s="190" t="s">
        <v>982</v>
      </c>
      <c r="AL23" s="402">
        <v>1098.04</v>
      </c>
      <c r="AM23" s="510">
        <v>0</v>
      </c>
      <c r="AN23" s="193">
        <v>79.03</v>
      </c>
      <c r="AO23" s="668"/>
      <c r="AP23" s="674"/>
      <c r="AQ23" s="668"/>
      <c r="AR23" s="43"/>
    </row>
    <row r="24" spans="1:44" ht="63.75">
      <c r="A24" s="147" t="str">
        <f>"SCG "&amp;18</f>
        <v>SCG 18</v>
      </c>
      <c r="B24" s="383" t="s">
        <v>21</v>
      </c>
      <c r="C24" s="41" t="s">
        <v>530</v>
      </c>
      <c r="D24" s="41" t="s">
        <v>185</v>
      </c>
      <c r="E24" s="27" t="s">
        <v>969</v>
      </c>
      <c r="F24" s="28"/>
      <c r="G24" s="29"/>
      <c r="H24" s="27"/>
      <c r="I24" s="28"/>
      <c r="J24" s="1"/>
      <c r="K24" s="1"/>
      <c r="L24" s="3"/>
      <c r="M24" s="1"/>
      <c r="N24" s="1"/>
      <c r="O24" s="3"/>
      <c r="P24" s="1"/>
      <c r="Q24" s="1"/>
      <c r="R24" s="3"/>
      <c r="S24" s="1"/>
      <c r="T24" s="1"/>
      <c r="U24" s="3"/>
      <c r="V24" s="27"/>
      <c r="W24" s="1"/>
      <c r="X24" s="1"/>
      <c r="Y24" s="27"/>
      <c r="Z24" s="27"/>
      <c r="AA24" s="27"/>
      <c r="AB24" s="27"/>
      <c r="AC24" s="189" t="s">
        <v>982</v>
      </c>
      <c r="AD24" s="189" t="s">
        <v>982</v>
      </c>
      <c r="AE24" s="599"/>
      <c r="AF24" s="189" t="s">
        <v>982</v>
      </c>
      <c r="AG24" s="189" t="s">
        <v>982</v>
      </c>
      <c r="AH24" s="680"/>
      <c r="AI24" s="190" t="s">
        <v>982</v>
      </c>
      <c r="AJ24" s="190" t="s">
        <v>982</v>
      </c>
      <c r="AK24" s="190" t="s">
        <v>982</v>
      </c>
      <c r="AL24" s="402">
        <v>0</v>
      </c>
      <c r="AM24" s="510">
        <v>0</v>
      </c>
      <c r="AN24" s="193">
        <v>0</v>
      </c>
      <c r="AO24" s="665"/>
      <c r="AP24" s="667"/>
      <c r="AQ24" s="665"/>
      <c r="AR24" s="43"/>
    </row>
    <row r="25" spans="1:44" ht="89.25">
      <c r="A25" s="147" t="str">
        <f>"SCG "&amp;19</f>
        <v>SCG 19</v>
      </c>
      <c r="B25" s="383" t="s">
        <v>1062</v>
      </c>
      <c r="C25" s="41" t="s">
        <v>537</v>
      </c>
      <c r="D25" s="41" t="s">
        <v>200</v>
      </c>
      <c r="E25" s="27" t="s">
        <v>969</v>
      </c>
      <c r="F25" s="28"/>
      <c r="G25" s="29"/>
      <c r="H25" s="27"/>
      <c r="I25" s="28"/>
      <c r="J25" s="1"/>
      <c r="K25" s="1"/>
      <c r="L25" s="3"/>
      <c r="M25" s="1"/>
      <c r="N25" s="1"/>
      <c r="O25" s="3"/>
      <c r="P25" s="1"/>
      <c r="Q25" s="1"/>
      <c r="R25" s="3"/>
      <c r="S25" s="1"/>
      <c r="T25" s="1"/>
      <c r="U25" s="3"/>
      <c r="V25" s="27"/>
      <c r="W25" s="1"/>
      <c r="X25" s="1"/>
      <c r="Y25" s="27"/>
      <c r="Z25" s="27"/>
      <c r="AA25" s="27"/>
      <c r="AB25" s="27"/>
      <c r="AC25" s="189" t="s">
        <v>982</v>
      </c>
      <c r="AD25" s="189" t="s">
        <v>982</v>
      </c>
      <c r="AE25" s="599"/>
      <c r="AF25" s="189" t="s">
        <v>982</v>
      </c>
      <c r="AG25" s="189" t="s">
        <v>982</v>
      </c>
      <c r="AH25" s="675">
        <v>3662</v>
      </c>
      <c r="AI25" s="190" t="s">
        <v>982</v>
      </c>
      <c r="AJ25" s="190" t="s">
        <v>982</v>
      </c>
      <c r="AK25" s="190" t="s">
        <v>982</v>
      </c>
      <c r="AL25" s="402">
        <v>0</v>
      </c>
      <c r="AM25" s="664">
        <f>0.92-AM27</f>
        <v>0.21900000000000008</v>
      </c>
      <c r="AN25" s="193">
        <v>107.8</v>
      </c>
      <c r="AO25" s="664">
        <f>AH25/SUM(AL25:AL27)</f>
        <v>1.0861215495175924</v>
      </c>
      <c r="AP25" s="669">
        <f>AH25/SUM(AM25:AM27)</f>
        <v>3980.4347826086955</v>
      </c>
      <c r="AQ25" s="664">
        <f>AH25/SUM(AN25:AN27)</f>
        <v>7.890064809707667</v>
      </c>
      <c r="AR25" s="43"/>
    </row>
    <row r="26" spans="1:44" ht="89.25">
      <c r="A26" s="147" t="str">
        <f>"SCG "&amp;20</f>
        <v>SCG 20</v>
      </c>
      <c r="B26" s="383" t="s">
        <v>1063</v>
      </c>
      <c r="C26" s="41" t="s">
        <v>537</v>
      </c>
      <c r="D26" s="41" t="s">
        <v>201</v>
      </c>
      <c r="E26" s="27" t="s">
        <v>969</v>
      </c>
      <c r="F26" s="28"/>
      <c r="G26" s="29"/>
      <c r="H26" s="27"/>
      <c r="I26" s="28"/>
      <c r="J26" s="1"/>
      <c r="K26" s="1"/>
      <c r="L26" s="3"/>
      <c r="M26" s="1"/>
      <c r="N26" s="1"/>
      <c r="O26" s="3"/>
      <c r="P26" s="1"/>
      <c r="Q26" s="1"/>
      <c r="R26" s="3"/>
      <c r="S26" s="1"/>
      <c r="T26" s="1"/>
      <c r="U26" s="3"/>
      <c r="V26" s="27"/>
      <c r="W26" s="1"/>
      <c r="X26" s="1"/>
      <c r="Y26" s="27"/>
      <c r="Z26" s="27"/>
      <c r="AA26" s="27"/>
      <c r="AB26" s="27"/>
      <c r="AC26" s="189" t="s">
        <v>982</v>
      </c>
      <c r="AD26" s="189" t="s">
        <v>982</v>
      </c>
      <c r="AE26" s="599"/>
      <c r="AF26" s="189" t="s">
        <v>982</v>
      </c>
      <c r="AG26" s="189" t="s">
        <v>982</v>
      </c>
      <c r="AH26" s="676"/>
      <c r="AI26" s="190" t="s">
        <v>982</v>
      </c>
      <c r="AJ26" s="190" t="s">
        <v>982</v>
      </c>
      <c r="AK26" s="190" t="s">
        <v>982</v>
      </c>
      <c r="AL26" s="402">
        <v>0</v>
      </c>
      <c r="AM26" s="665"/>
      <c r="AN26" s="193">
        <v>329</v>
      </c>
      <c r="AO26" s="668"/>
      <c r="AP26" s="670"/>
      <c r="AQ26" s="668"/>
      <c r="AR26" s="43"/>
    </row>
    <row r="27" spans="1:44" ht="63.75">
      <c r="A27" s="147" t="str">
        <f>"SCG "&amp;21</f>
        <v>SCG 21</v>
      </c>
      <c r="B27" s="383" t="s">
        <v>575</v>
      </c>
      <c r="C27" s="41" t="s">
        <v>537</v>
      </c>
      <c r="D27" s="41" t="s">
        <v>922</v>
      </c>
      <c r="E27" s="27" t="s">
        <v>969</v>
      </c>
      <c r="F27" s="28"/>
      <c r="G27" s="29"/>
      <c r="H27" s="27"/>
      <c r="I27" s="28"/>
      <c r="J27" s="1"/>
      <c r="K27" s="1"/>
      <c r="L27" s="3"/>
      <c r="M27" s="1"/>
      <c r="N27" s="1"/>
      <c r="O27" s="3"/>
      <c r="P27" s="1"/>
      <c r="Q27" s="1"/>
      <c r="R27" s="3"/>
      <c r="S27" s="1"/>
      <c r="T27" s="1"/>
      <c r="U27" s="3"/>
      <c r="V27" s="27"/>
      <c r="W27" s="1"/>
      <c r="X27" s="1"/>
      <c r="Y27" s="27"/>
      <c r="Z27" s="27"/>
      <c r="AA27" s="27"/>
      <c r="AB27" s="27"/>
      <c r="AC27" s="189" t="s">
        <v>982</v>
      </c>
      <c r="AD27" s="189" t="s">
        <v>982</v>
      </c>
      <c r="AE27" s="599"/>
      <c r="AF27" s="189" t="s">
        <v>982</v>
      </c>
      <c r="AG27" s="189" t="s">
        <v>982</v>
      </c>
      <c r="AH27" s="677"/>
      <c r="AI27" s="190" t="s">
        <v>982</v>
      </c>
      <c r="AJ27" s="190" t="s">
        <v>982</v>
      </c>
      <c r="AK27" s="190" t="s">
        <v>982</v>
      </c>
      <c r="AL27" s="402">
        <v>3371.63</v>
      </c>
      <c r="AM27" s="192">
        <v>0.701</v>
      </c>
      <c r="AN27" s="193">
        <v>27.328</v>
      </c>
      <c r="AO27" s="665"/>
      <c r="AP27" s="671"/>
      <c r="AQ27" s="665"/>
      <c r="AR27" s="43"/>
    </row>
    <row r="28" spans="1:44" ht="89.25">
      <c r="A28" s="147" t="str">
        <f>"SCG "&amp;22</f>
        <v>SCG 22</v>
      </c>
      <c r="B28" s="383" t="s">
        <v>1064</v>
      </c>
      <c r="C28" s="41" t="s">
        <v>1066</v>
      </c>
      <c r="D28" s="41" t="s">
        <v>923</v>
      </c>
      <c r="E28" s="27" t="s">
        <v>969</v>
      </c>
      <c r="F28" s="28"/>
      <c r="G28" s="29"/>
      <c r="H28" s="27"/>
      <c r="I28" s="28"/>
      <c r="J28" s="1"/>
      <c r="K28" s="1"/>
      <c r="L28" s="3"/>
      <c r="M28" s="1"/>
      <c r="N28" s="1"/>
      <c r="O28" s="3"/>
      <c r="P28" s="1"/>
      <c r="Q28" s="1"/>
      <c r="R28" s="3"/>
      <c r="S28" s="1"/>
      <c r="T28" s="1"/>
      <c r="U28" s="3"/>
      <c r="V28" s="27"/>
      <c r="W28" s="1"/>
      <c r="X28" s="1"/>
      <c r="Y28" s="27"/>
      <c r="Z28" s="27"/>
      <c r="AA28" s="27"/>
      <c r="AB28" s="27"/>
      <c r="AC28" s="189" t="s">
        <v>982</v>
      </c>
      <c r="AD28" s="189" t="s">
        <v>982</v>
      </c>
      <c r="AE28" s="599"/>
      <c r="AF28" s="189" t="s">
        <v>982</v>
      </c>
      <c r="AG28" s="189">
        <f>531.701+111.81+224.6</f>
        <v>868.111</v>
      </c>
      <c r="AH28" s="678">
        <v>5567</v>
      </c>
      <c r="AI28" s="190" t="s">
        <v>982</v>
      </c>
      <c r="AJ28" s="190" t="s">
        <v>982</v>
      </c>
      <c r="AK28" s="190" t="s">
        <v>982</v>
      </c>
      <c r="AL28" s="402">
        <v>0</v>
      </c>
      <c r="AM28" s="510">
        <v>0</v>
      </c>
      <c r="AN28" s="193">
        <f>600.164+19.023+97.701</f>
        <v>716.888</v>
      </c>
      <c r="AO28" s="664" t="s">
        <v>982</v>
      </c>
      <c r="AP28" s="666" t="s">
        <v>982</v>
      </c>
      <c r="AQ28" s="664">
        <f>AH28/SUM(AN28:AN30)</f>
        <v>0.7386051547130359</v>
      </c>
      <c r="AR28" s="43"/>
    </row>
    <row r="29" spans="1:44" ht="178.5">
      <c r="A29" s="147" t="str">
        <f>"SCG "&amp;23</f>
        <v>SCG 23</v>
      </c>
      <c r="B29" s="383" t="s">
        <v>1065</v>
      </c>
      <c r="C29" s="41" t="s">
        <v>1066</v>
      </c>
      <c r="D29" s="41" t="s">
        <v>202</v>
      </c>
      <c r="E29" s="27" t="s">
        <v>969</v>
      </c>
      <c r="F29" s="28"/>
      <c r="G29" s="29"/>
      <c r="H29" s="27"/>
      <c r="I29" s="28"/>
      <c r="J29" s="1"/>
      <c r="K29" s="1"/>
      <c r="L29" s="3"/>
      <c r="M29" s="1"/>
      <c r="N29" s="1"/>
      <c r="O29" s="3"/>
      <c r="P29" s="1"/>
      <c r="Q29" s="1"/>
      <c r="R29" s="3"/>
      <c r="S29" s="1"/>
      <c r="T29" s="1"/>
      <c r="U29" s="3"/>
      <c r="V29" s="27"/>
      <c r="W29" s="1"/>
      <c r="X29" s="1"/>
      <c r="Y29" s="27"/>
      <c r="Z29" s="27"/>
      <c r="AA29" s="27"/>
      <c r="AB29" s="27"/>
      <c r="AC29" s="189" t="s">
        <v>982</v>
      </c>
      <c r="AD29" s="189" t="s">
        <v>982</v>
      </c>
      <c r="AE29" s="599"/>
      <c r="AF29" s="189" t="s">
        <v>982</v>
      </c>
      <c r="AG29" s="189">
        <f>650.191+1520</f>
        <v>2170.191</v>
      </c>
      <c r="AH29" s="679"/>
      <c r="AI29" s="190" t="s">
        <v>982</v>
      </c>
      <c r="AJ29" s="190" t="s">
        <v>982</v>
      </c>
      <c r="AK29" s="190" t="s">
        <v>982</v>
      </c>
      <c r="AL29" s="402">
        <v>0</v>
      </c>
      <c r="AM29" s="510">
        <v>0</v>
      </c>
      <c r="AN29" s="193">
        <f>991.871+4894</f>
        <v>5885.871</v>
      </c>
      <c r="AO29" s="668"/>
      <c r="AP29" s="674"/>
      <c r="AQ29" s="668"/>
      <c r="AR29" s="43"/>
    </row>
    <row r="30" spans="1:44" ht="165.75">
      <c r="A30" s="147" t="str">
        <f>"SCG "&amp;24</f>
        <v>SCG 24</v>
      </c>
      <c r="B30" s="383" t="s">
        <v>566</v>
      </c>
      <c r="C30" s="41" t="s">
        <v>1066</v>
      </c>
      <c r="D30" s="41" t="s">
        <v>203</v>
      </c>
      <c r="E30" s="27" t="s">
        <v>969</v>
      </c>
      <c r="F30" s="28"/>
      <c r="G30" s="29"/>
      <c r="H30" s="27"/>
      <c r="I30" s="28"/>
      <c r="J30" s="1" t="s">
        <v>567</v>
      </c>
      <c r="K30" s="1" t="s">
        <v>568</v>
      </c>
      <c r="L30" s="3" t="s">
        <v>569</v>
      </c>
      <c r="M30" s="1" t="s">
        <v>982</v>
      </c>
      <c r="N30" s="1"/>
      <c r="O30" s="1"/>
      <c r="P30" s="1" t="s">
        <v>1112</v>
      </c>
      <c r="Q30" s="1" t="s">
        <v>1113</v>
      </c>
      <c r="R30" s="3" t="s">
        <v>1114</v>
      </c>
      <c r="S30" s="1" t="s">
        <v>570</v>
      </c>
      <c r="T30" s="1" t="s">
        <v>571</v>
      </c>
      <c r="U30" s="3" t="s">
        <v>572</v>
      </c>
      <c r="V30" s="27" t="s">
        <v>573</v>
      </c>
      <c r="W30" s="1"/>
      <c r="X30" s="1" t="s">
        <v>1119</v>
      </c>
      <c r="Y30" s="27"/>
      <c r="Z30" s="27" t="s">
        <v>969</v>
      </c>
      <c r="AA30" s="27"/>
      <c r="AB30" s="27"/>
      <c r="AC30" s="189" t="s">
        <v>982</v>
      </c>
      <c r="AD30" s="189" t="s">
        <v>982</v>
      </c>
      <c r="AE30" s="599"/>
      <c r="AF30" s="189" t="s">
        <v>982</v>
      </c>
      <c r="AG30" s="189">
        <v>719.276</v>
      </c>
      <c r="AH30" s="680"/>
      <c r="AI30" s="190" t="s">
        <v>982</v>
      </c>
      <c r="AJ30" s="190" t="s">
        <v>982</v>
      </c>
      <c r="AK30" s="190" t="s">
        <v>982</v>
      </c>
      <c r="AL30" s="402"/>
      <c r="AM30" s="510">
        <v>0</v>
      </c>
      <c r="AN30" s="193">
        <v>934.421</v>
      </c>
      <c r="AO30" s="665"/>
      <c r="AP30" s="667"/>
      <c r="AQ30" s="665"/>
      <c r="AR30" s="43" t="s">
        <v>574</v>
      </c>
    </row>
    <row r="31" spans="1:44" ht="51">
      <c r="A31" s="147" t="str">
        <f>"SCG "&amp;25</f>
        <v>SCG 25</v>
      </c>
      <c r="B31" s="383" t="s">
        <v>1055</v>
      </c>
      <c r="C31" s="41" t="s">
        <v>756</v>
      </c>
      <c r="D31" s="41" t="s">
        <v>205</v>
      </c>
      <c r="E31" s="27" t="s">
        <v>969</v>
      </c>
      <c r="F31" s="28"/>
      <c r="G31" s="29"/>
      <c r="H31" s="27"/>
      <c r="I31" s="28"/>
      <c r="J31" s="1"/>
      <c r="K31" s="1"/>
      <c r="L31" s="3"/>
      <c r="M31" s="1"/>
      <c r="N31" s="1"/>
      <c r="O31" s="1"/>
      <c r="P31" s="1"/>
      <c r="Q31" s="1"/>
      <c r="R31" s="3"/>
      <c r="S31" s="1"/>
      <c r="T31" s="1"/>
      <c r="U31" s="3"/>
      <c r="V31" s="27"/>
      <c r="W31" s="1"/>
      <c r="X31" s="1"/>
      <c r="Y31" s="27"/>
      <c r="Z31" s="27"/>
      <c r="AA31" s="27"/>
      <c r="AB31" s="27"/>
      <c r="AC31" s="189" t="s">
        <v>982</v>
      </c>
      <c r="AD31" s="189" t="s">
        <v>982</v>
      </c>
      <c r="AE31" s="599">
        <v>3000</v>
      </c>
      <c r="AF31" s="189" t="s">
        <v>982</v>
      </c>
      <c r="AG31" s="189" t="s">
        <v>982</v>
      </c>
      <c r="AH31" s="675">
        <v>1522</v>
      </c>
      <c r="AI31" s="190" t="s">
        <v>982</v>
      </c>
      <c r="AJ31" s="190" t="s">
        <v>982</v>
      </c>
      <c r="AK31" s="190" t="s">
        <v>982</v>
      </c>
      <c r="AL31" s="402">
        <v>0</v>
      </c>
      <c r="AM31" s="510">
        <v>0</v>
      </c>
      <c r="AN31" s="193">
        <v>0</v>
      </c>
      <c r="AO31" s="664">
        <f>AH31/SUM(AL31:AL33)</f>
        <v>12.063758788234269</v>
      </c>
      <c r="AP31" s="669">
        <f>AH31/SUM(AM31:AM33)</f>
        <v>16911.111111111113</v>
      </c>
      <c r="AQ31" s="664" t="str">
        <f>IF(OR(AN37=0,AN37="NA"),"NA",$AH37/AN37)</f>
        <v>NA</v>
      </c>
      <c r="AR31" s="43"/>
    </row>
    <row r="32" spans="1:44" ht="89.25">
      <c r="A32" s="147" t="str">
        <f>"SCG "&amp;26</f>
        <v>SCG 26</v>
      </c>
      <c r="B32" s="383" t="s">
        <v>1067</v>
      </c>
      <c r="C32" s="41" t="s">
        <v>756</v>
      </c>
      <c r="D32" s="41" t="s">
        <v>204</v>
      </c>
      <c r="E32" s="27" t="s">
        <v>969</v>
      </c>
      <c r="F32" s="28"/>
      <c r="G32" s="29"/>
      <c r="H32" s="27"/>
      <c r="I32" s="28"/>
      <c r="J32" s="1"/>
      <c r="K32" s="1"/>
      <c r="L32" s="3"/>
      <c r="M32" s="1"/>
      <c r="N32" s="1"/>
      <c r="O32" s="1"/>
      <c r="P32" s="1"/>
      <c r="Q32" s="1"/>
      <c r="R32" s="3"/>
      <c r="S32" s="1"/>
      <c r="T32" s="1"/>
      <c r="U32" s="3"/>
      <c r="V32" s="27"/>
      <c r="W32" s="1"/>
      <c r="X32" s="1"/>
      <c r="Y32" s="27"/>
      <c r="Z32" s="27"/>
      <c r="AA32" s="27"/>
      <c r="AB32" s="27"/>
      <c r="AC32" s="189" t="s">
        <v>982</v>
      </c>
      <c r="AD32" s="189" t="s">
        <v>982</v>
      </c>
      <c r="AE32" s="599"/>
      <c r="AF32" s="189" t="s">
        <v>982</v>
      </c>
      <c r="AG32" s="189" t="s">
        <v>982</v>
      </c>
      <c r="AH32" s="681"/>
      <c r="AI32" s="190" t="s">
        <v>982</v>
      </c>
      <c r="AJ32" s="190" t="s">
        <v>982</v>
      </c>
      <c r="AK32" s="190" t="s">
        <v>982</v>
      </c>
      <c r="AL32" s="402">
        <v>126.163</v>
      </c>
      <c r="AM32" s="192">
        <v>0.09</v>
      </c>
      <c r="AN32" s="193">
        <v>-19.844</v>
      </c>
      <c r="AO32" s="668"/>
      <c r="AP32" s="670"/>
      <c r="AQ32" s="668"/>
      <c r="AR32" s="43"/>
    </row>
    <row r="33" spans="1:44" ht="102">
      <c r="A33" s="147" t="str">
        <f>"SCG "&amp;27</f>
        <v>SCG 27</v>
      </c>
      <c r="B33" s="383" t="s">
        <v>1068</v>
      </c>
      <c r="C33" s="41" t="s">
        <v>756</v>
      </c>
      <c r="D33" s="41" t="s">
        <v>206</v>
      </c>
      <c r="E33" s="27" t="s">
        <v>969</v>
      </c>
      <c r="F33" s="28"/>
      <c r="G33" s="29"/>
      <c r="H33" s="27"/>
      <c r="I33" s="28"/>
      <c r="J33" s="1"/>
      <c r="K33" s="1"/>
      <c r="L33" s="3"/>
      <c r="M33" s="1"/>
      <c r="N33" s="1"/>
      <c r="O33" s="3"/>
      <c r="P33" s="1"/>
      <c r="Q33" s="1"/>
      <c r="R33" s="3"/>
      <c r="S33" s="1"/>
      <c r="T33" s="1"/>
      <c r="U33" s="3"/>
      <c r="V33" s="27"/>
      <c r="W33" s="1"/>
      <c r="X33" s="1"/>
      <c r="Y33" s="27"/>
      <c r="Z33" s="27"/>
      <c r="AA33" s="27"/>
      <c r="AB33" s="27"/>
      <c r="AC33" s="189" t="s">
        <v>982</v>
      </c>
      <c r="AD33" s="189" t="s">
        <v>982</v>
      </c>
      <c r="AE33" s="599"/>
      <c r="AF33" s="189" t="s">
        <v>982</v>
      </c>
      <c r="AG33" s="189" t="s">
        <v>982</v>
      </c>
      <c r="AH33" s="682"/>
      <c r="AI33" s="190" t="s">
        <v>982</v>
      </c>
      <c r="AJ33" s="190" t="s">
        <v>982</v>
      </c>
      <c r="AK33" s="190" t="s">
        <v>982</v>
      </c>
      <c r="AL33" s="402">
        <v>0</v>
      </c>
      <c r="AM33" s="510">
        <v>0</v>
      </c>
      <c r="AN33" s="193">
        <v>0</v>
      </c>
      <c r="AO33" s="665"/>
      <c r="AP33" s="671"/>
      <c r="AQ33" s="665"/>
      <c r="AR33" s="43"/>
    </row>
    <row r="34" spans="1:44" ht="12.75">
      <c r="A34" s="147"/>
      <c r="B34" s="384" t="s">
        <v>1147</v>
      </c>
      <c r="C34" s="188" t="s">
        <v>73</v>
      </c>
      <c r="D34" s="257"/>
      <c r="E34" s="352"/>
      <c r="F34" s="352"/>
      <c r="G34" s="375"/>
      <c r="H34" s="352"/>
      <c r="I34" s="352"/>
      <c r="J34" s="267"/>
      <c r="K34" s="267"/>
      <c r="L34" s="376"/>
      <c r="M34" s="267"/>
      <c r="N34" s="385"/>
      <c r="O34" s="385"/>
      <c r="P34" s="267"/>
      <c r="Q34" s="267"/>
      <c r="R34" s="376"/>
      <c r="S34" s="267"/>
      <c r="T34" s="267"/>
      <c r="U34" s="376"/>
      <c r="V34" s="352"/>
      <c r="W34" s="267"/>
      <c r="X34" s="267"/>
      <c r="Y34" s="352"/>
      <c r="Z34" s="352"/>
      <c r="AA34" s="352"/>
      <c r="AB34" s="352"/>
      <c r="AC34" s="386">
        <f>SUM(AC18:AC33)</f>
        <v>0</v>
      </c>
      <c r="AD34" s="386">
        <f aca="true" t="shared" si="1" ref="AD34:AN34">SUM(AD18:AD33)</f>
        <v>0</v>
      </c>
      <c r="AE34" s="519">
        <f t="shared" si="1"/>
        <v>3000</v>
      </c>
      <c r="AF34" s="386">
        <f t="shared" si="1"/>
        <v>0</v>
      </c>
      <c r="AG34" s="386">
        <f t="shared" si="1"/>
        <v>3757.5779999999995</v>
      </c>
      <c r="AH34" s="519">
        <f t="shared" si="1"/>
        <v>13732</v>
      </c>
      <c r="AI34" s="386">
        <f t="shared" si="1"/>
        <v>0</v>
      </c>
      <c r="AJ34" s="386">
        <f t="shared" si="1"/>
        <v>0</v>
      </c>
      <c r="AK34" s="386">
        <f t="shared" si="1"/>
        <v>0</v>
      </c>
      <c r="AL34" s="519">
        <f t="shared" si="1"/>
        <v>4595.833</v>
      </c>
      <c r="AM34" s="386">
        <f t="shared" si="1"/>
        <v>1.01</v>
      </c>
      <c r="AN34" s="516">
        <f t="shared" si="1"/>
        <v>8060.494</v>
      </c>
      <c r="AO34" s="278">
        <f>IF(OR(AL34=0,AL34="NA"),"NA",$AH34/AL34)</f>
        <v>2.9879240607741844</v>
      </c>
      <c r="AP34" s="270">
        <f>IF(OR(AM34=0,AM34="NA"),"NA",$AH34/AM34)</f>
        <v>13596.039603960397</v>
      </c>
      <c r="AQ34" s="278">
        <f>IF(OR(AN34=0,AN34="NA"),"NA",$AH34/AN34)</f>
        <v>1.703617669090753</v>
      </c>
      <c r="AR34" s="379"/>
    </row>
    <row r="35" spans="1:44" ht="76.5">
      <c r="A35" s="147" t="str">
        <f>"SCG "&amp;28</f>
        <v>SCG 28</v>
      </c>
      <c r="B35" s="383" t="s">
        <v>1069</v>
      </c>
      <c r="C35" s="41" t="s">
        <v>553</v>
      </c>
      <c r="D35" s="41" t="s">
        <v>207</v>
      </c>
      <c r="E35" s="27" t="s">
        <v>969</v>
      </c>
      <c r="F35" s="28"/>
      <c r="G35" s="29"/>
      <c r="H35" s="27"/>
      <c r="I35" s="28"/>
      <c r="J35" s="1"/>
      <c r="K35" s="1"/>
      <c r="L35" s="3"/>
      <c r="M35" s="1"/>
      <c r="N35" s="1"/>
      <c r="O35" s="3"/>
      <c r="P35" s="1"/>
      <c r="Q35" s="1"/>
      <c r="R35" s="3"/>
      <c r="S35" s="1"/>
      <c r="T35" s="1"/>
      <c r="U35" s="3"/>
      <c r="V35" s="27"/>
      <c r="W35" s="1"/>
      <c r="X35" s="1"/>
      <c r="Y35" s="27"/>
      <c r="Z35" s="27"/>
      <c r="AA35" s="27"/>
      <c r="AB35" s="27"/>
      <c r="AC35" s="189" t="s">
        <v>982</v>
      </c>
      <c r="AD35" s="189" t="s">
        <v>982</v>
      </c>
      <c r="AE35" s="599">
        <v>4891</v>
      </c>
      <c r="AF35" s="189" t="s">
        <v>982</v>
      </c>
      <c r="AG35" s="189" t="s">
        <v>982</v>
      </c>
      <c r="AH35" s="402">
        <v>6062</v>
      </c>
      <c r="AI35" s="190" t="s">
        <v>982</v>
      </c>
      <c r="AJ35" s="190" t="s">
        <v>982</v>
      </c>
      <c r="AK35" s="190" t="s">
        <v>982</v>
      </c>
      <c r="AL35" s="402">
        <v>4857</v>
      </c>
      <c r="AM35" s="192">
        <v>4.31</v>
      </c>
      <c r="AN35" s="193">
        <v>53.635</v>
      </c>
      <c r="AO35" s="192">
        <f>AH35/AL35</f>
        <v>1.248095532221536</v>
      </c>
      <c r="AP35" s="402">
        <f>AH35/AM35</f>
        <v>1406.496519721578</v>
      </c>
      <c r="AQ35" s="192">
        <f>AH35/AN35</f>
        <v>113.02321245455393</v>
      </c>
      <c r="AR35" s="43"/>
    </row>
    <row r="36" spans="1:44" ht="165.75">
      <c r="A36" s="147" t="str">
        <f>"SCG "&amp;29</f>
        <v>SCG 29</v>
      </c>
      <c r="B36" s="383" t="s">
        <v>1070</v>
      </c>
      <c r="C36" s="41" t="s">
        <v>561</v>
      </c>
      <c r="D36" s="41" t="s">
        <v>208</v>
      </c>
      <c r="E36" s="27" t="s">
        <v>969</v>
      </c>
      <c r="F36" s="28" t="s">
        <v>969</v>
      </c>
      <c r="G36" s="29"/>
      <c r="H36" s="27"/>
      <c r="I36" s="28"/>
      <c r="J36" s="1" t="s">
        <v>607</v>
      </c>
      <c r="K36" s="1" t="s">
        <v>608</v>
      </c>
      <c r="L36" s="3" t="s">
        <v>609</v>
      </c>
      <c r="M36" s="1" t="s">
        <v>982</v>
      </c>
      <c r="N36" s="1"/>
      <c r="O36" s="1"/>
      <c r="P36" s="1" t="s">
        <v>1112</v>
      </c>
      <c r="Q36" s="1" t="s">
        <v>1113</v>
      </c>
      <c r="R36" s="3" t="s">
        <v>1114</v>
      </c>
      <c r="S36" s="1"/>
      <c r="T36" s="1"/>
      <c r="U36" s="3"/>
      <c r="V36" s="27" t="s">
        <v>573</v>
      </c>
      <c r="W36" s="1"/>
      <c r="X36" s="1" t="s">
        <v>1119</v>
      </c>
      <c r="Y36" s="27" t="s">
        <v>969</v>
      </c>
      <c r="Z36" s="27"/>
      <c r="AA36" s="27"/>
      <c r="AB36" s="27"/>
      <c r="AC36" s="189" t="s">
        <v>982</v>
      </c>
      <c r="AD36" s="189">
        <v>674</v>
      </c>
      <c r="AE36" s="599"/>
      <c r="AF36" s="189">
        <f>AH36-AG36</f>
        <v>415</v>
      </c>
      <c r="AG36" s="189">
        <v>674</v>
      </c>
      <c r="AH36" s="402">
        <v>1089</v>
      </c>
      <c r="AI36" s="190" t="s">
        <v>982</v>
      </c>
      <c r="AJ36" s="190" t="s">
        <v>982</v>
      </c>
      <c r="AK36" s="190" t="s">
        <v>982</v>
      </c>
      <c r="AL36" s="402">
        <f>3384-AL38</f>
        <v>3358.989</v>
      </c>
      <c r="AM36" s="192">
        <v>1.74</v>
      </c>
      <c r="AN36" s="193">
        <f>361-AN38</f>
        <v>360.7295</v>
      </c>
      <c r="AO36" s="192">
        <f>AH36/AL36</f>
        <v>0.3242046937337395</v>
      </c>
      <c r="AP36" s="402">
        <f>AH36/AM36</f>
        <v>625.8620689655172</v>
      </c>
      <c r="AQ36" s="192">
        <f>AH36/AN36</f>
        <v>3.0188825699034876</v>
      </c>
      <c r="AR36" s="43" t="s">
        <v>576</v>
      </c>
    </row>
    <row r="37" spans="1:44" ht="140.25">
      <c r="A37" s="147" t="str">
        <f>"SCG "&amp;30</f>
        <v>SCG 30</v>
      </c>
      <c r="B37" s="383" t="s">
        <v>1071</v>
      </c>
      <c r="C37" s="41" t="s">
        <v>1072</v>
      </c>
      <c r="D37" s="41" t="s">
        <v>209</v>
      </c>
      <c r="E37" s="27" t="s">
        <v>969</v>
      </c>
      <c r="F37" s="28"/>
      <c r="G37" s="29"/>
      <c r="H37" s="27"/>
      <c r="I37" s="28"/>
      <c r="J37" s="1"/>
      <c r="K37" s="1"/>
      <c r="L37" s="3"/>
      <c r="M37" s="1"/>
      <c r="N37" s="1"/>
      <c r="O37" s="3"/>
      <c r="P37" s="1"/>
      <c r="Q37" s="1"/>
      <c r="R37" s="3"/>
      <c r="S37" s="1"/>
      <c r="T37" s="1"/>
      <c r="U37" s="3"/>
      <c r="V37" s="27"/>
      <c r="W37" s="1"/>
      <c r="X37" s="1"/>
      <c r="Y37" s="27"/>
      <c r="Z37" s="27"/>
      <c r="AA37" s="27"/>
      <c r="AB37" s="27"/>
      <c r="AC37" s="189" t="s">
        <v>982</v>
      </c>
      <c r="AD37" s="189" t="s">
        <v>982</v>
      </c>
      <c r="AE37" s="599"/>
      <c r="AF37" s="189" t="s">
        <v>982</v>
      </c>
      <c r="AG37" s="189" t="s">
        <v>982</v>
      </c>
      <c r="AH37" s="669">
        <f>1386-AH36</f>
        <v>297</v>
      </c>
      <c r="AI37" s="190" t="s">
        <v>982</v>
      </c>
      <c r="AJ37" s="190" t="s">
        <v>982</v>
      </c>
      <c r="AK37" s="190" t="s">
        <v>982</v>
      </c>
      <c r="AL37" s="583" t="s">
        <v>982</v>
      </c>
      <c r="AM37" s="192" t="s">
        <v>982</v>
      </c>
      <c r="AN37" s="293" t="s">
        <v>982</v>
      </c>
      <c r="AO37" s="664">
        <f>AH37/SUM(AL37:AL38)</f>
        <v>11.874775098956459</v>
      </c>
      <c r="AP37" s="666" t="s">
        <v>982</v>
      </c>
      <c r="AQ37" s="664">
        <f>AH37/SUM(AN37:AN38)</f>
        <v>1097.9667282809612</v>
      </c>
      <c r="AR37" s="43"/>
    </row>
    <row r="38" spans="1:44" ht="89.25">
      <c r="A38" s="147" t="str">
        <f>"SCG "&amp;31</f>
        <v>SCG 31</v>
      </c>
      <c r="B38" s="383" t="s">
        <v>1287</v>
      </c>
      <c r="C38" s="41" t="s">
        <v>1072</v>
      </c>
      <c r="D38" s="41" t="s">
        <v>210</v>
      </c>
      <c r="E38" s="27" t="s">
        <v>969</v>
      </c>
      <c r="F38" s="28"/>
      <c r="G38" s="29"/>
      <c r="H38" s="27"/>
      <c r="I38" s="28"/>
      <c r="J38" s="1"/>
      <c r="K38" s="1"/>
      <c r="L38" s="3"/>
      <c r="M38" s="1"/>
      <c r="N38" s="1"/>
      <c r="O38" s="3"/>
      <c r="P38" s="1"/>
      <c r="Q38" s="1"/>
      <c r="R38" s="3"/>
      <c r="S38" s="1"/>
      <c r="T38" s="1"/>
      <c r="U38" s="3"/>
      <c r="V38" s="27"/>
      <c r="W38" s="1"/>
      <c r="X38" s="1"/>
      <c r="Y38" s="27"/>
      <c r="Z38" s="27"/>
      <c r="AA38" s="27"/>
      <c r="AB38" s="27"/>
      <c r="AC38" s="189" t="s">
        <v>982</v>
      </c>
      <c r="AD38" s="189" t="s">
        <v>982</v>
      </c>
      <c r="AE38" s="599"/>
      <c r="AF38" s="189" t="s">
        <v>982</v>
      </c>
      <c r="AG38" s="189" t="s">
        <v>982</v>
      </c>
      <c r="AH38" s="671"/>
      <c r="AI38" s="190" t="s">
        <v>982</v>
      </c>
      <c r="AJ38" s="190" t="s">
        <v>982</v>
      </c>
      <c r="AK38" s="190" t="s">
        <v>982</v>
      </c>
      <c r="AL38" s="402">
        <v>25.011</v>
      </c>
      <c r="AM38" s="192" t="s">
        <v>982</v>
      </c>
      <c r="AN38" s="193">
        <v>0.2705</v>
      </c>
      <c r="AO38" s="665"/>
      <c r="AP38" s="667"/>
      <c r="AQ38" s="665"/>
      <c r="AR38" s="43"/>
    </row>
    <row r="39" spans="2:44" ht="12.75">
      <c r="B39" s="257" t="s">
        <v>1147</v>
      </c>
      <c r="C39" s="188" t="s">
        <v>671</v>
      </c>
      <c r="D39" s="257"/>
      <c r="E39" s="352"/>
      <c r="F39" s="352"/>
      <c r="G39" s="375"/>
      <c r="H39" s="352"/>
      <c r="I39" s="352"/>
      <c r="J39" s="267"/>
      <c r="K39" s="267"/>
      <c r="L39" s="376"/>
      <c r="M39" s="267"/>
      <c r="N39" s="385"/>
      <c r="O39" s="385"/>
      <c r="P39" s="267"/>
      <c r="Q39" s="267"/>
      <c r="R39" s="376"/>
      <c r="S39" s="267"/>
      <c r="T39" s="267"/>
      <c r="U39" s="376"/>
      <c r="V39" s="352"/>
      <c r="W39" s="267"/>
      <c r="X39" s="267"/>
      <c r="Y39" s="352"/>
      <c r="Z39" s="352"/>
      <c r="AA39" s="352"/>
      <c r="AB39" s="352"/>
      <c r="AC39" s="386">
        <f>SUM(AC35:AC38)</f>
        <v>0</v>
      </c>
      <c r="AD39" s="386">
        <f aca="true" t="shared" si="2" ref="AD39:AN39">SUM(AD35:AD38)</f>
        <v>674</v>
      </c>
      <c r="AE39" s="519">
        <f t="shared" si="2"/>
        <v>4891</v>
      </c>
      <c r="AF39" s="386">
        <f t="shared" si="2"/>
        <v>415</v>
      </c>
      <c r="AG39" s="386">
        <f t="shared" si="2"/>
        <v>674</v>
      </c>
      <c r="AH39" s="519">
        <f t="shared" si="2"/>
        <v>7448</v>
      </c>
      <c r="AI39" s="386">
        <f t="shared" si="2"/>
        <v>0</v>
      </c>
      <c r="AJ39" s="386">
        <f t="shared" si="2"/>
        <v>0</v>
      </c>
      <c r="AK39" s="386">
        <f t="shared" si="2"/>
        <v>0</v>
      </c>
      <c r="AL39" s="519">
        <f t="shared" si="2"/>
        <v>8241</v>
      </c>
      <c r="AM39" s="386">
        <f t="shared" si="2"/>
        <v>6.05</v>
      </c>
      <c r="AN39" s="516">
        <f t="shared" si="2"/>
        <v>414.635</v>
      </c>
      <c r="AO39" s="278">
        <f>AH39/AL39</f>
        <v>0.9037738138575415</v>
      </c>
      <c r="AP39" s="270">
        <f>AH39/AM39</f>
        <v>1231.0743801652893</v>
      </c>
      <c r="AQ39" s="278">
        <f>AH39/AN39</f>
        <v>17.962786547204168</v>
      </c>
      <c r="AR39" s="379"/>
    </row>
    <row r="40" spans="5:9" ht="12.75">
      <c r="E40" s="7"/>
      <c r="F40" s="14"/>
      <c r="G40" s="15"/>
      <c r="H40" s="7"/>
      <c r="I40" s="14"/>
    </row>
    <row r="41" spans="2:44" ht="12.75">
      <c r="B41" s="257" t="s">
        <v>651</v>
      </c>
      <c r="C41" s="188" t="s">
        <v>74</v>
      </c>
      <c r="D41" s="257"/>
      <c r="E41" s="352"/>
      <c r="F41" s="352"/>
      <c r="G41" s="375"/>
      <c r="H41" s="352"/>
      <c r="I41" s="352"/>
      <c r="J41" s="267"/>
      <c r="K41" s="267"/>
      <c r="L41" s="376"/>
      <c r="M41" s="267"/>
      <c r="N41" s="385"/>
      <c r="O41" s="385"/>
      <c r="P41" s="267"/>
      <c r="Q41" s="267"/>
      <c r="R41" s="376"/>
      <c r="S41" s="267"/>
      <c r="T41" s="267"/>
      <c r="U41" s="376"/>
      <c r="V41" s="352"/>
      <c r="W41" s="267"/>
      <c r="X41" s="267"/>
      <c r="Y41" s="352"/>
      <c r="Z41" s="352"/>
      <c r="AA41" s="352"/>
      <c r="AB41" s="352"/>
      <c r="AC41" s="278">
        <f>AC17+AC34+AC39</f>
        <v>0</v>
      </c>
      <c r="AD41" s="278">
        <f aca="true" t="shared" si="3" ref="AD41:AN41">AD17+AD34+AD39</f>
        <v>7274</v>
      </c>
      <c r="AE41" s="270">
        <f t="shared" si="3"/>
        <v>16398</v>
      </c>
      <c r="AF41" s="278">
        <f t="shared" si="3"/>
        <v>415</v>
      </c>
      <c r="AG41" s="278">
        <f t="shared" si="3"/>
        <v>4957.5779999999995</v>
      </c>
      <c r="AH41" s="270">
        <f t="shared" si="3"/>
        <v>29027</v>
      </c>
      <c r="AI41" s="278">
        <f t="shared" si="3"/>
        <v>0</v>
      </c>
      <c r="AJ41" s="278">
        <f t="shared" si="3"/>
        <v>0</v>
      </c>
      <c r="AK41" s="278">
        <f t="shared" si="3"/>
        <v>0</v>
      </c>
      <c r="AL41" s="270">
        <f t="shared" si="3"/>
        <v>14685.282</v>
      </c>
      <c r="AM41" s="278">
        <f t="shared" si="3"/>
        <v>9.004999999999999</v>
      </c>
      <c r="AN41" s="272">
        <f t="shared" si="3"/>
        <v>11428.214</v>
      </c>
      <c r="AO41" s="278">
        <f>AH41/AL41</f>
        <v>1.976604875548185</v>
      </c>
      <c r="AP41" s="270">
        <f>AH41/AM41</f>
        <v>3223.431426985009</v>
      </c>
      <c r="AQ41" s="278">
        <f>AH41/AN41</f>
        <v>2.5399419366840696</v>
      </c>
      <c r="AR41" s="379"/>
    </row>
    <row r="42" spans="5:9" ht="12.75">
      <c r="E42" s="7"/>
      <c r="F42" s="7"/>
      <c r="G42" s="7"/>
      <c r="H42" s="7"/>
      <c r="I42" s="7"/>
    </row>
    <row r="43" spans="5:9" ht="12.75">
      <c r="E43" s="7"/>
      <c r="F43" s="14"/>
      <c r="G43" s="15"/>
      <c r="H43" s="7"/>
      <c r="I43" s="14"/>
    </row>
    <row r="44" spans="5:9" ht="12.75">
      <c r="E44" s="7"/>
      <c r="F44" s="14"/>
      <c r="G44" s="15"/>
      <c r="H44" s="7"/>
      <c r="I44" s="14"/>
    </row>
    <row r="45" spans="5:9" ht="12.75">
      <c r="E45" s="7"/>
      <c r="F45" s="14"/>
      <c r="G45" s="15"/>
      <c r="H45" s="7"/>
      <c r="I45" s="14"/>
    </row>
    <row r="46" spans="5:9" ht="12.75">
      <c r="E46" s="7"/>
      <c r="F46" s="14"/>
      <c r="G46" s="15"/>
      <c r="H46" s="7"/>
      <c r="I46" s="14"/>
    </row>
    <row r="47" spans="5:9" ht="12.75">
      <c r="E47" s="7"/>
      <c r="F47" s="14"/>
      <c r="G47" s="15"/>
      <c r="H47" s="7"/>
      <c r="I47" s="14"/>
    </row>
    <row r="48" spans="5:9" ht="12.75">
      <c r="E48" s="7"/>
      <c r="F48" s="14"/>
      <c r="G48" s="15"/>
      <c r="H48" s="7"/>
      <c r="I48" s="14"/>
    </row>
    <row r="49" spans="5:9" ht="12.75">
      <c r="E49" s="7"/>
      <c r="F49" s="14"/>
      <c r="G49" s="15"/>
      <c r="H49" s="7"/>
      <c r="I49" s="14"/>
    </row>
    <row r="50" spans="5:9" ht="12.75">
      <c r="E50" s="7"/>
      <c r="F50" s="14"/>
      <c r="G50" s="15"/>
      <c r="H50" s="7"/>
      <c r="I50" s="14"/>
    </row>
    <row r="51" spans="5:9" ht="12.75">
      <c r="E51" s="7"/>
      <c r="F51" s="14"/>
      <c r="G51" s="15"/>
      <c r="H51" s="7"/>
      <c r="I51" s="14"/>
    </row>
    <row r="52" spans="5:9" ht="12.75">
      <c r="E52" s="7"/>
      <c r="F52" s="7"/>
      <c r="G52" s="7"/>
      <c r="H52" s="7"/>
      <c r="I52" s="7"/>
    </row>
    <row r="53" spans="5:9" ht="12.75">
      <c r="E53" s="7"/>
      <c r="F53" s="14"/>
      <c r="G53" s="15"/>
      <c r="H53" s="7"/>
      <c r="I53" s="14"/>
    </row>
    <row r="54" spans="5:9" ht="12.75">
      <c r="E54" s="7"/>
      <c r="F54" s="14"/>
      <c r="G54" s="15"/>
      <c r="H54" s="7"/>
      <c r="I54" s="14"/>
    </row>
    <row r="55" spans="5:9" ht="12.75">
      <c r="E55" s="7"/>
      <c r="F55" s="14"/>
      <c r="G55" s="15"/>
      <c r="H55" s="7"/>
      <c r="I55" s="14"/>
    </row>
    <row r="56" spans="5:9" ht="12.75">
      <c r="E56" s="7"/>
      <c r="F56" s="14"/>
      <c r="G56" s="15"/>
      <c r="H56" s="7"/>
      <c r="I56" s="14"/>
    </row>
    <row r="57" spans="5:9" ht="12.75">
      <c r="E57" s="7"/>
      <c r="F57" s="14"/>
      <c r="G57" s="15"/>
      <c r="H57" s="7"/>
      <c r="I57" s="14"/>
    </row>
    <row r="58" spans="5:9" ht="12.75">
      <c r="E58" s="7"/>
      <c r="F58" s="14"/>
      <c r="G58" s="15"/>
      <c r="H58" s="7"/>
      <c r="I58" s="14"/>
    </row>
    <row r="59" spans="5:9" ht="12.75">
      <c r="E59" s="7"/>
      <c r="F59" s="14"/>
      <c r="G59" s="15"/>
      <c r="H59" s="7"/>
      <c r="I59" s="14"/>
    </row>
    <row r="60" spans="5:9" ht="12.75">
      <c r="E60" s="7"/>
      <c r="F60" s="14"/>
      <c r="G60" s="15"/>
      <c r="H60" s="7"/>
      <c r="I60" s="14"/>
    </row>
    <row r="61" spans="5:9" ht="12.75">
      <c r="E61" s="7"/>
      <c r="F61" s="14"/>
      <c r="G61" s="15"/>
      <c r="H61" s="7"/>
      <c r="I61" s="14"/>
    </row>
    <row r="62" spans="5:9" ht="12.75">
      <c r="E62" s="7"/>
      <c r="F62" s="14"/>
      <c r="G62" s="15"/>
      <c r="H62" s="7"/>
      <c r="I62" s="14"/>
    </row>
    <row r="63" spans="5:9" ht="12.75">
      <c r="E63" s="7"/>
      <c r="F63" s="14"/>
      <c r="G63" s="15"/>
      <c r="H63" s="7"/>
      <c r="I63" s="14"/>
    </row>
  </sheetData>
  <sheetProtection password="DE47" sheet="1" objects="1" scenarios="1"/>
  <mergeCells count="36">
    <mergeCell ref="AN14:AN15"/>
    <mergeCell ref="AH9:AH10"/>
    <mergeCell ref="AL6:AL7"/>
    <mergeCell ref="AM6:AM7"/>
    <mergeCell ref="AN6:AN7"/>
    <mergeCell ref="AM25:AM26"/>
    <mergeCell ref="AH37:AH38"/>
    <mergeCell ref="AH11:AH14"/>
    <mergeCell ref="AH18:AH24"/>
    <mergeCell ref="AH25:AH27"/>
    <mergeCell ref="AH31:AH33"/>
    <mergeCell ref="AH28:AH30"/>
    <mergeCell ref="AQ11:AQ14"/>
    <mergeCell ref="AO18:AO24"/>
    <mergeCell ref="AP18:AP24"/>
    <mergeCell ref="AQ18:AQ24"/>
    <mergeCell ref="AO11:AO14"/>
    <mergeCell ref="AP11:AP14"/>
    <mergeCell ref="AO25:AO27"/>
    <mergeCell ref="AP25:AP27"/>
    <mergeCell ref="AQ25:AQ27"/>
    <mergeCell ref="AO28:AO30"/>
    <mergeCell ref="AP28:AP30"/>
    <mergeCell ref="AQ28:AQ30"/>
    <mergeCell ref="AO6:AO7"/>
    <mergeCell ref="AP6:AP7"/>
    <mergeCell ref="AQ6:AQ7"/>
    <mergeCell ref="AQ9:AQ10"/>
    <mergeCell ref="AO9:AO10"/>
    <mergeCell ref="AP9:AP10"/>
    <mergeCell ref="AO37:AO38"/>
    <mergeCell ref="AP37:AP38"/>
    <mergeCell ref="AQ37:AQ38"/>
    <mergeCell ref="AO31:AO33"/>
    <mergeCell ref="AP31:AP33"/>
    <mergeCell ref="AQ31:AQ33"/>
  </mergeCells>
  <hyperlinks>
    <hyperlink ref="L6" r:id="rId1" display="ldelaura@semprautilities.com"/>
    <hyperlink ref="R6" r:id="rId2" display="fspasaro@semprautilities.com"/>
    <hyperlink ref="U6" r:id="rId3" display="drebello@qcworld.com"/>
    <hyperlink ref="L11" r:id="rId4" display="ldelaura@semprautilities.com"/>
    <hyperlink ref="R11" r:id="rId5" display="fspasaro@semprautilities.com"/>
    <hyperlink ref="U11" r:id="rId6" display="drebello@qcworld.com"/>
    <hyperlink ref="O11" r:id="rId7" display="Talereza@adm-energy.com"/>
    <hyperlink ref="L16" r:id="rId8" display="ldelaura@semprautilities.com"/>
    <hyperlink ref="R16" r:id="rId9" display="fspasaro@semprautilities.com"/>
    <hyperlink ref="U16" r:id="rId10" display="drebello@qcworld.com"/>
    <hyperlink ref="L30" r:id="rId11" display="lvillarreal@semprautilities.com"/>
    <hyperlink ref="R30" r:id="rId12" display="fspasaro@semprautilities.com"/>
    <hyperlink ref="U30" r:id="rId13" display="craigtyler@attbi.com"/>
    <hyperlink ref="R14" r:id="rId14" display="fspasaro@semprautilities.com"/>
    <hyperlink ref="R36" r:id="rId15" display="fspasaro@semprautilities.com"/>
    <hyperlink ref="L36" r:id="rId16" display="cruiz@semprautilities.com"/>
    <hyperlink ref="L23" r:id="rId17" display="ttang@semprautilities.com"/>
    <hyperlink ref="R23" r:id="rId18" display="fspasaro@semprautilities.com"/>
    <hyperlink ref="U23" r:id="rId19" display="drebello@qcworld.com"/>
    <hyperlink ref="O23" r:id="rId20" display="Talereza@adm-energy.com"/>
    <hyperlink ref="U14" r:id="rId21" display="msutter@alamedanet.net"/>
  </hyperlinks>
  <printOptions/>
  <pageMargins left="0.5" right="0.5" top="0.54" bottom="1" header="0.5" footer="0.5"/>
  <pageSetup fitToHeight="50" fitToWidth="2" horizontalDpi="300" verticalDpi="300" orientation="landscape" pageOrder="overThenDown" scale="76" r:id="rId25"/>
  <headerFooter alignWithMargins="0">
    <oddHeader>&amp;CCALMAC Summary Study</oddHeader>
    <oddFooter>&amp;LGlobal Energy Partners, LLC&amp;C&amp;D&amp;RPage &amp;P of &amp;N</oddFooter>
  </headerFooter>
  <colBreaks count="1" manualBreakCount="1">
    <brk id="36" min="5" max="36" man="1"/>
  </colBreaks>
  <drawing r:id="rId24"/>
  <legacyDrawing r:id="rId23"/>
</worksheet>
</file>

<file path=xl/worksheets/sheet8.xml><?xml version="1.0" encoding="utf-8"?>
<worksheet xmlns="http://schemas.openxmlformats.org/spreadsheetml/2006/main" xmlns:r="http://schemas.openxmlformats.org/officeDocument/2006/relationships">
  <sheetPr>
    <pageSetUpPr fitToPage="1"/>
  </sheetPr>
  <dimension ref="A1:AT68"/>
  <sheetViews>
    <sheetView showGridLines="0" zoomScale="50" zoomScaleNormal="50" workbookViewId="0" topLeftCell="A1">
      <pane xSplit="4" ySplit="5" topLeftCell="E6" activePane="bottomRight" state="frozen"/>
      <selection pane="topLeft" activeCell="D35" sqref="D35"/>
      <selection pane="topRight" activeCell="D35" sqref="D35"/>
      <selection pane="bottomLeft" activeCell="D35" sqref="D35"/>
      <selection pane="bottomRight" activeCell="A2" sqref="A2"/>
    </sheetView>
  </sheetViews>
  <sheetFormatPr defaultColWidth="9.140625" defaultRowHeight="12.75" outlineLevelRow="1" outlineLevelCol="1"/>
  <cols>
    <col min="1" max="1" width="9.140625" style="31" customWidth="1"/>
    <col min="2" max="2" width="14.28125" style="31" customWidth="1"/>
    <col min="3" max="3" width="12.421875" style="31" customWidth="1"/>
    <col min="4" max="4" width="36.8515625" style="31" customWidth="1"/>
    <col min="5" max="5" width="30.57421875" style="31" customWidth="1"/>
    <col min="6" max="10" width="3.7109375" style="31" customWidth="1"/>
    <col min="11" max="11" width="8.8515625" style="31" hidden="1" customWidth="1" outlineLevel="1"/>
    <col min="12" max="13" width="7.7109375" style="31" hidden="1" customWidth="1" outlineLevel="1"/>
    <col min="14" max="14" width="9.57421875" style="31" hidden="1" customWidth="1" outlineLevel="1"/>
    <col min="15" max="16" width="7.7109375" style="31" hidden="1" customWidth="1" outlineLevel="1"/>
    <col min="17" max="17" width="8.7109375" style="31" hidden="1" customWidth="1" outlineLevel="1"/>
    <col min="18" max="22" width="7.7109375" style="31" hidden="1" customWidth="1" outlineLevel="1"/>
    <col min="23" max="23" width="7.57421875" style="31" hidden="1" customWidth="1" outlineLevel="1"/>
    <col min="24" max="24" width="11.00390625" style="31" hidden="1" customWidth="1" outlineLevel="1"/>
    <col min="25" max="25" width="9.421875" style="31" hidden="1" customWidth="1" outlineLevel="1"/>
    <col min="26" max="26" width="7.7109375" style="31" hidden="1" customWidth="1" outlineLevel="1"/>
    <col min="27" max="28" width="7.28125" style="31" hidden="1" customWidth="1" outlineLevel="1"/>
    <col min="29" max="29" width="6.421875" style="31" hidden="1" customWidth="1" outlineLevel="1"/>
    <col min="30" max="30" width="10.7109375" style="31" customWidth="1" collapsed="1"/>
    <col min="31" max="35" width="10.7109375" style="31" customWidth="1"/>
    <col min="36" max="36" width="12.00390625" style="31" customWidth="1"/>
    <col min="37" max="38" width="9.421875" style="31" bestFit="1" customWidth="1"/>
    <col min="39" max="39" width="11.00390625" style="355" bestFit="1" customWidth="1"/>
    <col min="40" max="41" width="9.421875" style="31" bestFit="1" customWidth="1"/>
    <col min="42" max="42" width="10.421875" style="445" customWidth="1"/>
    <col min="43" max="43" width="11.140625" style="355" customWidth="1"/>
    <col min="44" max="44" width="11.57421875" style="31" customWidth="1"/>
    <col min="45" max="45" width="35.57421875" style="6" customWidth="1"/>
    <col min="46" max="16384" width="9.140625" style="31" customWidth="1"/>
  </cols>
  <sheetData>
    <row r="1" spans="2:34" ht="15.75">
      <c r="B1" s="80" t="s">
        <v>1371</v>
      </c>
      <c r="AD1" s="81"/>
      <c r="AE1" s="81"/>
      <c r="AF1" s="81"/>
      <c r="AG1" s="81"/>
      <c r="AH1" s="81"/>
    </row>
    <row r="2" ht="16.5" thickBot="1">
      <c r="B2" s="80" t="s">
        <v>269</v>
      </c>
    </row>
    <row r="3" spans="6:29" ht="13.5" thickBot="1">
      <c r="F3" s="83"/>
      <c r="G3" s="83"/>
      <c r="H3" s="83"/>
      <c r="I3" s="83"/>
      <c r="J3" s="83"/>
      <c r="K3" s="84" t="s">
        <v>36</v>
      </c>
      <c r="L3" s="85"/>
      <c r="M3" s="85"/>
      <c r="N3" s="85"/>
      <c r="O3" s="85"/>
      <c r="P3" s="85"/>
      <c r="Q3" s="85"/>
      <c r="R3" s="85"/>
      <c r="S3" s="85"/>
      <c r="T3" s="85"/>
      <c r="U3" s="85"/>
      <c r="V3" s="85"/>
      <c r="W3" s="85"/>
      <c r="X3" s="85"/>
      <c r="Y3" s="86"/>
      <c r="Z3" s="87"/>
      <c r="AA3" s="88"/>
      <c r="AB3" s="88"/>
      <c r="AC3" s="89"/>
    </row>
    <row r="4" spans="6:44" ht="40.5" customHeight="1" thickBot="1">
      <c r="F4" s="61" t="s">
        <v>33</v>
      </c>
      <c r="G4" s="62"/>
      <c r="H4" s="62"/>
      <c r="I4" s="62"/>
      <c r="J4" s="63"/>
      <c r="K4" s="61" t="s">
        <v>679</v>
      </c>
      <c r="L4" s="85"/>
      <c r="M4" s="86"/>
      <c r="N4" s="85" t="s">
        <v>677</v>
      </c>
      <c r="O4" s="85"/>
      <c r="P4" s="86"/>
      <c r="Q4" s="90" t="s">
        <v>680</v>
      </c>
      <c r="R4" s="90"/>
      <c r="S4" s="91"/>
      <c r="T4" s="85" t="s">
        <v>675</v>
      </c>
      <c r="U4" s="85"/>
      <c r="V4" s="86"/>
      <c r="W4" s="85" t="s">
        <v>1197</v>
      </c>
      <c r="X4" s="86"/>
      <c r="Y4" s="92"/>
      <c r="Z4" s="93" t="s">
        <v>34</v>
      </c>
      <c r="AA4" s="94"/>
      <c r="AB4" s="94"/>
      <c r="AC4" s="95"/>
      <c r="AD4" s="36" t="s">
        <v>956</v>
      </c>
      <c r="AE4" s="36"/>
      <c r="AF4" s="36"/>
      <c r="AG4" s="36" t="s">
        <v>1284</v>
      </c>
      <c r="AH4" s="36"/>
      <c r="AI4" s="36"/>
      <c r="AJ4" s="35" t="s">
        <v>1081</v>
      </c>
      <c r="AK4" s="35"/>
      <c r="AL4" s="35"/>
      <c r="AM4" s="360" t="s">
        <v>346</v>
      </c>
      <c r="AN4" s="35"/>
      <c r="AO4" s="35"/>
      <c r="AP4" s="446" t="s">
        <v>662</v>
      </c>
      <c r="AQ4" s="360"/>
      <c r="AR4" s="35"/>
    </row>
    <row r="5" spans="2:45" ht="124.5" thickBot="1">
      <c r="B5" s="96" t="s">
        <v>835</v>
      </c>
      <c r="C5" s="96" t="s">
        <v>834</v>
      </c>
      <c r="D5" s="96" t="s">
        <v>836</v>
      </c>
      <c r="E5" s="96" t="s">
        <v>731</v>
      </c>
      <c r="F5" s="11" t="s">
        <v>28</v>
      </c>
      <c r="G5" s="12" t="s">
        <v>29</v>
      </c>
      <c r="H5" s="12" t="s">
        <v>30</v>
      </c>
      <c r="I5" s="12" t="s">
        <v>31</v>
      </c>
      <c r="J5" s="13" t="s">
        <v>668</v>
      </c>
      <c r="K5" s="97" t="s">
        <v>37</v>
      </c>
      <c r="L5" s="98" t="s">
        <v>38</v>
      </c>
      <c r="M5" s="99" t="s">
        <v>39</v>
      </c>
      <c r="N5" s="97" t="s">
        <v>678</v>
      </c>
      <c r="O5" s="98" t="s">
        <v>38</v>
      </c>
      <c r="P5" s="99" t="s">
        <v>39</v>
      </c>
      <c r="Q5" s="97" t="s">
        <v>37</v>
      </c>
      <c r="R5" s="98" t="s">
        <v>38</v>
      </c>
      <c r="S5" s="99" t="s">
        <v>39</v>
      </c>
      <c r="T5" s="97" t="s">
        <v>678</v>
      </c>
      <c r="U5" s="98" t="s">
        <v>38</v>
      </c>
      <c r="V5" s="99" t="s">
        <v>39</v>
      </c>
      <c r="W5" s="100" t="s">
        <v>40</v>
      </c>
      <c r="X5" s="99" t="s">
        <v>41</v>
      </c>
      <c r="Y5" s="101" t="s">
        <v>35</v>
      </c>
      <c r="Z5" s="97" t="s">
        <v>1306</v>
      </c>
      <c r="AA5" s="98" t="s">
        <v>681</v>
      </c>
      <c r="AB5" s="98" t="s">
        <v>32</v>
      </c>
      <c r="AC5" s="102" t="s">
        <v>682</v>
      </c>
      <c r="AD5" s="109" t="s">
        <v>777</v>
      </c>
      <c r="AE5" s="111" t="s">
        <v>778</v>
      </c>
      <c r="AF5" s="110" t="s">
        <v>779</v>
      </c>
      <c r="AG5" s="109" t="s">
        <v>777</v>
      </c>
      <c r="AH5" s="111" t="s">
        <v>778</v>
      </c>
      <c r="AI5" s="110" t="s">
        <v>779</v>
      </c>
      <c r="AJ5" s="134" t="s">
        <v>1266</v>
      </c>
      <c r="AK5" s="135" t="s">
        <v>1356</v>
      </c>
      <c r="AL5" s="139" t="s">
        <v>1357</v>
      </c>
      <c r="AM5" s="517" t="s">
        <v>1266</v>
      </c>
      <c r="AN5" s="111" t="s">
        <v>1356</v>
      </c>
      <c r="AO5" s="110" t="s">
        <v>1357</v>
      </c>
      <c r="AP5" s="460" t="s">
        <v>1358</v>
      </c>
      <c r="AQ5" s="600" t="s">
        <v>650</v>
      </c>
      <c r="AR5" s="140" t="s">
        <v>517</v>
      </c>
      <c r="AS5" s="51" t="s">
        <v>676</v>
      </c>
    </row>
    <row r="6" spans="2:45" ht="12.75">
      <c r="B6" s="179" t="s">
        <v>1372</v>
      </c>
      <c r="C6" s="171"/>
      <c r="D6" s="171"/>
      <c r="E6" s="171"/>
      <c r="F6" s="172"/>
      <c r="G6" s="172"/>
      <c r="H6" s="172"/>
      <c r="I6" s="172"/>
      <c r="J6" s="172"/>
      <c r="K6" s="173"/>
      <c r="L6" s="173"/>
      <c r="M6" s="173"/>
      <c r="N6" s="173"/>
      <c r="O6" s="173"/>
      <c r="P6" s="173"/>
      <c r="Q6" s="173"/>
      <c r="R6" s="173"/>
      <c r="S6" s="173"/>
      <c r="T6" s="173"/>
      <c r="U6" s="173"/>
      <c r="V6" s="173"/>
      <c r="W6" s="173"/>
      <c r="X6" s="173"/>
      <c r="Y6" s="173"/>
      <c r="Z6" s="173"/>
      <c r="AA6" s="173"/>
      <c r="AB6" s="173"/>
      <c r="AC6" s="173"/>
      <c r="AD6" s="49"/>
      <c r="AE6" s="49"/>
      <c r="AF6" s="49"/>
      <c r="AG6" s="49"/>
      <c r="AH6" s="49"/>
      <c r="AI6" s="49"/>
      <c r="AJ6" s="49"/>
      <c r="AK6" s="180"/>
      <c r="AL6" s="49"/>
      <c r="AM6" s="180"/>
      <c r="AN6" s="49"/>
      <c r="AO6" s="49"/>
      <c r="AP6" s="461"/>
      <c r="AQ6" s="180"/>
      <c r="AR6" s="49"/>
      <c r="AS6" s="49"/>
    </row>
    <row r="7" spans="2:45" ht="51" hidden="1" outlineLevel="1">
      <c r="B7" s="227" t="s">
        <v>1310</v>
      </c>
      <c r="C7" s="227"/>
      <c r="D7" s="228"/>
      <c r="E7" s="228"/>
      <c r="F7" s="228"/>
      <c r="G7" s="228"/>
      <c r="H7" s="228"/>
      <c r="I7" s="228"/>
      <c r="J7" s="228"/>
      <c r="K7" s="228" t="s">
        <v>847</v>
      </c>
      <c r="L7" s="228" t="s">
        <v>848</v>
      </c>
      <c r="M7" s="228" t="s">
        <v>849</v>
      </c>
      <c r="N7" s="228" t="s">
        <v>850</v>
      </c>
      <c r="O7" s="228" t="s">
        <v>848</v>
      </c>
      <c r="P7" s="228" t="s">
        <v>849</v>
      </c>
      <c r="Q7" s="228"/>
      <c r="R7" s="228"/>
      <c r="S7" s="228"/>
      <c r="T7" s="228"/>
      <c r="U7" s="228"/>
      <c r="V7" s="228"/>
      <c r="W7" s="228"/>
      <c r="X7" s="228"/>
      <c r="Y7" s="228"/>
      <c r="Z7" s="228"/>
      <c r="AA7" s="228"/>
      <c r="AB7" s="228"/>
      <c r="AC7" s="228"/>
      <c r="AD7" s="229" t="s">
        <v>982</v>
      </c>
      <c r="AE7" s="229">
        <v>1500</v>
      </c>
      <c r="AF7" s="229">
        <v>1500</v>
      </c>
      <c r="AG7" s="229">
        <v>14.334</v>
      </c>
      <c r="AH7" s="229">
        <v>1488</v>
      </c>
      <c r="AI7" s="229">
        <f>SUM(AG7:AH7)</f>
        <v>1502.334</v>
      </c>
      <c r="AJ7" s="229"/>
      <c r="AK7" s="230"/>
      <c r="AL7" s="229"/>
      <c r="AM7" s="419">
        <v>11975.249</v>
      </c>
      <c r="AN7" s="229">
        <v>1.67</v>
      </c>
      <c r="AO7" s="229">
        <v>0</v>
      </c>
      <c r="AP7" s="462">
        <f>IF(AM12=0,"NA",$AI12/AM12)</f>
        <v>0.13143445435827042</v>
      </c>
      <c r="AQ7" s="418">
        <f>IF(AN12=0,"NA",$AI12/AN12)</f>
        <v>107.3731426969442</v>
      </c>
      <c r="AR7" s="229" t="str">
        <f>IF(AO12=0,"NA",$AI12/AO12)</f>
        <v>NA</v>
      </c>
      <c r="AS7" s="228"/>
    </row>
    <row r="8" spans="2:46" ht="51" hidden="1" outlineLevel="1">
      <c r="B8" s="231" t="s">
        <v>1345</v>
      </c>
      <c r="C8" s="231" t="s">
        <v>838</v>
      </c>
      <c r="D8" s="232" t="s">
        <v>702</v>
      </c>
      <c r="E8" s="232"/>
      <c r="F8" s="232" t="s">
        <v>969</v>
      </c>
      <c r="G8" s="233" t="s">
        <v>969</v>
      </c>
      <c r="H8" s="233"/>
      <c r="I8" s="234"/>
      <c r="J8" s="235"/>
      <c r="K8" s="236" t="s">
        <v>1092</v>
      </c>
      <c r="L8" s="236" t="s">
        <v>985</v>
      </c>
      <c r="M8" s="237" t="s">
        <v>1093</v>
      </c>
      <c r="N8" s="236" t="s">
        <v>1094</v>
      </c>
      <c r="O8" s="236" t="s">
        <v>1095</v>
      </c>
      <c r="P8" s="238" t="s">
        <v>1096</v>
      </c>
      <c r="Q8" s="236" t="s">
        <v>982</v>
      </c>
      <c r="R8" s="236" t="s">
        <v>982</v>
      </c>
      <c r="S8" s="236" t="s">
        <v>982</v>
      </c>
      <c r="T8" s="236" t="s">
        <v>1097</v>
      </c>
      <c r="U8" s="236" t="s">
        <v>1098</v>
      </c>
      <c r="V8" s="237" t="s">
        <v>1099</v>
      </c>
      <c r="W8" s="236" t="s">
        <v>1216</v>
      </c>
      <c r="X8" s="236" t="s">
        <v>1100</v>
      </c>
      <c r="Y8" s="236" t="s">
        <v>1101</v>
      </c>
      <c r="Z8" s="236" t="s">
        <v>969</v>
      </c>
      <c r="AA8" s="236"/>
      <c r="AB8" s="236"/>
      <c r="AC8" s="236"/>
      <c r="AD8" s="239"/>
      <c r="AE8" s="240"/>
      <c r="AF8" s="240">
        <v>2500</v>
      </c>
      <c r="AG8" s="240"/>
      <c r="AH8" s="240"/>
      <c r="AI8" s="240">
        <v>2526</v>
      </c>
      <c r="AJ8" s="240"/>
      <c r="AK8" s="240"/>
      <c r="AL8" s="240"/>
      <c r="AM8" s="418">
        <v>29223</v>
      </c>
      <c r="AN8" s="240">
        <v>3.336</v>
      </c>
      <c r="AO8" s="240"/>
      <c r="AP8" s="462">
        <f aca="true" t="shared" si="0" ref="AP8:AP44">IF(AM13=0,"NA",$AI13/AM13)</f>
        <v>0.07575055968279072</v>
      </c>
      <c r="AQ8" s="418">
        <f aca="true" t="shared" si="1" ref="AQ8:AQ44">IF(AN13=0,"NA",$AI13/AN13)</f>
        <v>137.50037907505683</v>
      </c>
      <c r="AR8" s="228" t="str">
        <f aca="true" t="shared" si="2" ref="AR8:AR44">IF(AO13=0,"NA",$AI13/AO13)</f>
        <v>NA</v>
      </c>
      <c r="AS8" s="228" t="s">
        <v>1102</v>
      </c>
      <c r="AT8" s="176"/>
    </row>
    <row r="9" spans="1:45" ht="51" collapsed="1">
      <c r="A9" s="31" t="s">
        <v>75</v>
      </c>
      <c r="B9" s="227" t="s">
        <v>1126</v>
      </c>
      <c r="C9" s="227" t="s">
        <v>1207</v>
      </c>
      <c r="D9" s="228" t="s">
        <v>1373</v>
      </c>
      <c r="E9" s="228"/>
      <c r="F9" s="241"/>
      <c r="G9" s="241" t="s">
        <v>969</v>
      </c>
      <c r="H9" s="241"/>
      <c r="I9" s="241"/>
      <c r="J9" s="241"/>
      <c r="K9" s="229"/>
      <c r="L9" s="229"/>
      <c r="M9" s="229"/>
      <c r="N9" s="229"/>
      <c r="O9" s="229"/>
      <c r="P9" s="229"/>
      <c r="Q9" s="229"/>
      <c r="R9" s="229"/>
      <c r="S9" s="229"/>
      <c r="T9" s="229"/>
      <c r="U9" s="229"/>
      <c r="V9" s="229"/>
      <c r="W9" s="229"/>
      <c r="X9" s="229"/>
      <c r="Y9" s="229"/>
      <c r="Z9" s="229"/>
      <c r="AA9" s="229"/>
      <c r="AB9" s="229"/>
      <c r="AC9" s="229"/>
      <c r="AD9" s="229"/>
      <c r="AE9" s="229"/>
      <c r="AF9" s="229">
        <v>12</v>
      </c>
      <c r="AG9" s="229"/>
      <c r="AH9" s="229"/>
      <c r="AI9" s="229">
        <f>SUM(AI7:AI8)</f>
        <v>4028.334</v>
      </c>
      <c r="AJ9" s="229"/>
      <c r="AK9" s="230">
        <v>16</v>
      </c>
      <c r="AL9" s="229"/>
      <c r="AM9" s="419">
        <f>SUM(AM7:AM8)</f>
        <v>41198.248999999996</v>
      </c>
      <c r="AN9" s="229">
        <v>6</v>
      </c>
      <c r="AO9" s="229"/>
      <c r="AP9" s="462">
        <f t="shared" si="0"/>
        <v>0.699626617375231</v>
      </c>
      <c r="AQ9" s="418">
        <f t="shared" si="1"/>
        <v>3784.98</v>
      </c>
      <c r="AR9" s="229" t="str">
        <f t="shared" si="2"/>
        <v>NA</v>
      </c>
      <c r="AS9" s="229" t="s">
        <v>1127</v>
      </c>
    </row>
    <row r="10" spans="2:45" ht="51" hidden="1" outlineLevel="1">
      <c r="B10" s="242" t="s">
        <v>244</v>
      </c>
      <c r="C10" s="243" t="s">
        <v>1137</v>
      </c>
      <c r="D10" s="243"/>
      <c r="E10" s="243" t="s">
        <v>164</v>
      </c>
      <c r="F10" s="244" t="s">
        <v>969</v>
      </c>
      <c r="G10" s="244" t="s">
        <v>969</v>
      </c>
      <c r="H10" s="244"/>
      <c r="I10" s="244"/>
      <c r="J10" s="244"/>
      <c r="K10" s="245"/>
      <c r="L10" s="245"/>
      <c r="M10" s="245"/>
      <c r="N10" s="245"/>
      <c r="O10" s="245"/>
      <c r="P10" s="245"/>
      <c r="Q10" s="245"/>
      <c r="R10" s="245"/>
      <c r="S10" s="245"/>
      <c r="T10" s="245"/>
      <c r="U10" s="245"/>
      <c r="V10" s="245"/>
      <c r="W10" s="245"/>
      <c r="X10" s="245"/>
      <c r="Y10" s="245"/>
      <c r="Z10" s="245"/>
      <c r="AA10" s="245"/>
      <c r="AB10" s="245"/>
      <c r="AC10" s="245"/>
      <c r="AD10" s="245"/>
      <c r="AE10" s="245"/>
      <c r="AF10" s="245">
        <v>150</v>
      </c>
      <c r="AG10" s="245"/>
      <c r="AH10" s="245"/>
      <c r="AI10" s="245">
        <f>AF10</f>
        <v>150</v>
      </c>
      <c r="AJ10" s="245"/>
      <c r="AK10" s="246"/>
      <c r="AL10" s="245"/>
      <c r="AM10" s="416">
        <v>543</v>
      </c>
      <c r="AN10" s="245">
        <v>0</v>
      </c>
      <c r="AO10" s="245"/>
      <c r="AP10" s="463" t="str">
        <f t="shared" si="0"/>
        <v>NA</v>
      </c>
      <c r="AQ10" s="415" t="str">
        <f t="shared" si="1"/>
        <v>NA</v>
      </c>
      <c r="AR10" s="245" t="str">
        <f t="shared" si="2"/>
        <v>NA</v>
      </c>
      <c r="AS10" s="245"/>
    </row>
    <row r="11" spans="2:45" ht="89.25" hidden="1" outlineLevel="1">
      <c r="B11" s="242" t="s">
        <v>245</v>
      </c>
      <c r="C11" s="243" t="s">
        <v>1137</v>
      </c>
      <c r="D11" s="243"/>
      <c r="E11" s="243" t="s">
        <v>1310</v>
      </c>
      <c r="F11" s="244" t="s">
        <v>969</v>
      </c>
      <c r="G11" s="244" t="s">
        <v>969</v>
      </c>
      <c r="H11" s="244"/>
      <c r="I11" s="244"/>
      <c r="J11" s="244"/>
      <c r="K11" s="243" t="s">
        <v>148</v>
      </c>
      <c r="L11" s="435" t="s">
        <v>149</v>
      </c>
      <c r="M11" s="424" t="s">
        <v>150</v>
      </c>
      <c r="N11" s="243" t="s">
        <v>151</v>
      </c>
      <c r="O11" s="243" t="s">
        <v>152</v>
      </c>
      <c r="P11" s="243" t="s">
        <v>1186</v>
      </c>
      <c r="Q11" s="245"/>
      <c r="R11" s="245"/>
      <c r="S11" s="245"/>
      <c r="T11" s="245"/>
      <c r="U11" s="245"/>
      <c r="V11" s="245"/>
      <c r="W11" s="245"/>
      <c r="X11" s="245"/>
      <c r="Y11" s="245"/>
      <c r="Z11" s="245"/>
      <c r="AA11" s="245"/>
      <c r="AB11" s="245"/>
      <c r="AC11" s="245"/>
      <c r="AD11" s="245"/>
      <c r="AE11" s="245"/>
      <c r="AF11" s="245">
        <v>250</v>
      </c>
      <c r="AG11" s="245">
        <v>11.089</v>
      </c>
      <c r="AH11" s="245">
        <v>0</v>
      </c>
      <c r="AI11" s="245">
        <f>SUM(AG11:AH11)</f>
        <v>11.089</v>
      </c>
      <c r="AJ11" s="245"/>
      <c r="AK11" s="246"/>
      <c r="AL11" s="245"/>
      <c r="AM11" s="415">
        <v>3725.64</v>
      </c>
      <c r="AN11" s="246">
        <v>0.39</v>
      </c>
      <c r="AO11" s="245">
        <v>0</v>
      </c>
      <c r="AP11" s="463">
        <f t="shared" si="0"/>
        <v>0.11720781944794026</v>
      </c>
      <c r="AQ11" s="415">
        <f t="shared" si="1"/>
        <v>657.1798188874515</v>
      </c>
      <c r="AR11" s="245" t="str">
        <f t="shared" si="2"/>
        <v>NA</v>
      </c>
      <c r="AS11" s="245"/>
    </row>
    <row r="12" spans="2:45" ht="51" hidden="1" outlineLevel="1">
      <c r="B12" s="242" t="s">
        <v>246</v>
      </c>
      <c r="C12" s="243" t="s">
        <v>1137</v>
      </c>
      <c r="D12" s="243"/>
      <c r="E12" s="243" t="s">
        <v>842</v>
      </c>
      <c r="F12" s="244" t="s">
        <v>969</v>
      </c>
      <c r="G12" s="244" t="s">
        <v>969</v>
      </c>
      <c r="H12" s="244"/>
      <c r="I12" s="244"/>
      <c r="J12" s="244"/>
      <c r="K12" s="245"/>
      <c r="L12" s="245"/>
      <c r="M12" s="245"/>
      <c r="N12" s="245"/>
      <c r="O12" s="245"/>
      <c r="P12" s="245"/>
      <c r="Q12" s="245"/>
      <c r="R12" s="245"/>
      <c r="S12" s="245"/>
      <c r="T12" s="245"/>
      <c r="U12" s="245"/>
      <c r="V12" s="245"/>
      <c r="W12" s="245"/>
      <c r="X12" s="245"/>
      <c r="Y12" s="245"/>
      <c r="Z12" s="245"/>
      <c r="AA12" s="245"/>
      <c r="AB12" s="245"/>
      <c r="AC12" s="245"/>
      <c r="AD12" s="415"/>
      <c r="AE12" s="416"/>
      <c r="AF12" s="415">
        <v>350</v>
      </c>
      <c r="AG12" s="415"/>
      <c r="AH12" s="416" t="s">
        <v>710</v>
      </c>
      <c r="AI12" s="415">
        <v>383</v>
      </c>
      <c r="AJ12" s="416" t="s">
        <v>982</v>
      </c>
      <c r="AK12" s="417">
        <v>3.6</v>
      </c>
      <c r="AL12" s="416" t="s">
        <v>982</v>
      </c>
      <c r="AM12" s="415">
        <v>2914</v>
      </c>
      <c r="AN12" s="417">
        <v>3.567</v>
      </c>
      <c r="AO12" s="415">
        <v>0</v>
      </c>
      <c r="AP12" s="463">
        <f t="shared" si="0"/>
        <v>0.1543338439181493</v>
      </c>
      <c r="AQ12" s="415">
        <f t="shared" si="1"/>
        <v>863.3404372184993</v>
      </c>
      <c r="AR12" s="245" t="str">
        <f t="shared" si="2"/>
        <v>NA</v>
      </c>
      <c r="AS12" s="243" t="s">
        <v>1246</v>
      </c>
    </row>
    <row r="13" spans="1:45" ht="89.25" collapsed="1">
      <c r="A13" s="31" t="s">
        <v>76</v>
      </c>
      <c r="B13" s="242" t="s">
        <v>1367</v>
      </c>
      <c r="C13" s="243" t="s">
        <v>1137</v>
      </c>
      <c r="D13" s="243" t="s">
        <v>1368</v>
      </c>
      <c r="E13" s="243" t="s">
        <v>247</v>
      </c>
      <c r="F13" s="244" t="s">
        <v>969</v>
      </c>
      <c r="G13" s="247" t="s">
        <v>969</v>
      </c>
      <c r="H13" s="248"/>
      <c r="I13" s="244"/>
      <c r="J13" s="247"/>
      <c r="K13" s="245"/>
      <c r="L13" s="245"/>
      <c r="M13" s="245"/>
      <c r="N13" s="245"/>
      <c r="O13" s="245"/>
      <c r="P13" s="245"/>
      <c r="Q13" s="245"/>
      <c r="R13" s="245"/>
      <c r="S13" s="245"/>
      <c r="T13" s="245"/>
      <c r="U13" s="245"/>
      <c r="V13" s="245"/>
      <c r="W13" s="245"/>
      <c r="X13" s="245"/>
      <c r="Y13" s="245"/>
      <c r="Z13" s="245"/>
      <c r="AA13" s="245"/>
      <c r="AB13" s="245"/>
      <c r="AC13" s="245"/>
      <c r="AD13" s="245"/>
      <c r="AE13" s="245"/>
      <c r="AF13" s="245">
        <f>SUM(AF10:AF12)</f>
        <v>750</v>
      </c>
      <c r="AG13" s="245">
        <f aca="true" t="shared" si="3" ref="AG13:AL13">SUM(AG10:AG12)</f>
        <v>11.089</v>
      </c>
      <c r="AH13" s="245">
        <f t="shared" si="3"/>
        <v>0</v>
      </c>
      <c r="AI13" s="245">
        <f t="shared" si="3"/>
        <v>544.0889999999999</v>
      </c>
      <c r="AJ13" s="245">
        <f t="shared" si="3"/>
        <v>0</v>
      </c>
      <c r="AK13" s="245">
        <f t="shared" si="3"/>
        <v>3.6</v>
      </c>
      <c r="AL13" s="245">
        <f t="shared" si="3"/>
        <v>0</v>
      </c>
      <c r="AM13" s="415">
        <f>SUM(AM10:AM12)</f>
        <v>7182.639999999999</v>
      </c>
      <c r="AN13" s="245">
        <f>SUM(AN10:AN12)</f>
        <v>3.9570000000000003</v>
      </c>
      <c r="AO13" s="245">
        <f>SUM(AO10:AO12)</f>
        <v>0</v>
      </c>
      <c r="AP13" s="463">
        <f t="shared" si="0"/>
        <v>0.09055173199635369</v>
      </c>
      <c r="AQ13" s="415">
        <f t="shared" si="1"/>
        <v>90.4589641434263</v>
      </c>
      <c r="AR13" s="245" t="str">
        <f t="shared" si="2"/>
        <v>NA</v>
      </c>
      <c r="AS13" s="245" t="s">
        <v>719</v>
      </c>
    </row>
    <row r="14" spans="2:45" ht="38.25" hidden="1" outlineLevel="1">
      <c r="B14" s="227" t="s">
        <v>248</v>
      </c>
      <c r="C14" s="228" t="s">
        <v>1080</v>
      </c>
      <c r="D14" s="228"/>
      <c r="E14" s="228" t="s">
        <v>164</v>
      </c>
      <c r="F14" s="241" t="s">
        <v>969</v>
      </c>
      <c r="G14" s="249" t="s">
        <v>969</v>
      </c>
      <c r="H14" s="250"/>
      <c r="I14" s="241"/>
      <c r="J14" s="249"/>
      <c r="K14" s="229"/>
      <c r="L14" s="229"/>
      <c r="M14" s="229"/>
      <c r="N14" s="229"/>
      <c r="O14" s="229"/>
      <c r="P14" s="229"/>
      <c r="Q14" s="229"/>
      <c r="R14" s="229"/>
      <c r="S14" s="229"/>
      <c r="T14" s="229"/>
      <c r="U14" s="229"/>
      <c r="V14" s="229"/>
      <c r="W14" s="229"/>
      <c r="X14" s="229"/>
      <c r="Y14" s="229"/>
      <c r="Z14" s="229"/>
      <c r="AA14" s="229"/>
      <c r="AB14" s="229"/>
      <c r="AC14" s="229"/>
      <c r="AD14" s="229"/>
      <c r="AE14" s="229"/>
      <c r="AF14" s="229">
        <v>3000</v>
      </c>
      <c r="AG14" s="229"/>
      <c r="AH14" s="229"/>
      <c r="AI14" s="229">
        <v>2270.988</v>
      </c>
      <c r="AJ14" s="229"/>
      <c r="AK14" s="251"/>
      <c r="AL14" s="229"/>
      <c r="AM14" s="418">
        <v>3246</v>
      </c>
      <c r="AN14" s="229">
        <v>0.6</v>
      </c>
      <c r="AO14" s="229"/>
      <c r="AP14" s="462">
        <f t="shared" si="0"/>
        <v>0.949028</v>
      </c>
      <c r="AQ14" s="418">
        <f t="shared" si="1"/>
        <v>79.75025210084034</v>
      </c>
      <c r="AR14" s="229" t="str">
        <f t="shared" si="2"/>
        <v>NA</v>
      </c>
      <c r="AS14" s="229" t="s">
        <v>1082</v>
      </c>
    </row>
    <row r="15" spans="2:45" ht="102" hidden="1" outlineLevel="1">
      <c r="B15" s="227" t="s">
        <v>249</v>
      </c>
      <c r="C15" s="228" t="s">
        <v>1080</v>
      </c>
      <c r="D15" s="228"/>
      <c r="E15" s="228" t="s">
        <v>1310</v>
      </c>
      <c r="F15" s="241" t="s">
        <v>969</v>
      </c>
      <c r="G15" s="249" t="s">
        <v>969</v>
      </c>
      <c r="H15" s="250"/>
      <c r="I15" s="241"/>
      <c r="J15" s="249"/>
      <c r="K15" s="228" t="s">
        <v>1314</v>
      </c>
      <c r="L15" s="436" t="s">
        <v>1315</v>
      </c>
      <c r="M15" s="437" t="s">
        <v>1316</v>
      </c>
      <c r="N15" s="228" t="s">
        <v>1382</v>
      </c>
      <c r="O15" s="228" t="s">
        <v>361</v>
      </c>
      <c r="P15" s="228" t="s">
        <v>362</v>
      </c>
      <c r="Q15" s="228"/>
      <c r="R15" s="227"/>
      <c r="S15" s="228"/>
      <c r="T15" s="228"/>
      <c r="U15" s="228"/>
      <c r="V15" s="228"/>
      <c r="W15" s="228" t="s">
        <v>689</v>
      </c>
      <c r="X15" s="228"/>
      <c r="Y15" s="228" t="s">
        <v>690</v>
      </c>
      <c r="Z15" s="229"/>
      <c r="AA15" s="229"/>
      <c r="AB15" s="229"/>
      <c r="AC15" s="229"/>
      <c r="AD15" s="229">
        <v>0</v>
      </c>
      <c r="AE15" s="229">
        <v>0</v>
      </c>
      <c r="AF15" s="229">
        <v>0</v>
      </c>
      <c r="AG15" s="229">
        <v>0</v>
      </c>
      <c r="AH15" s="229">
        <v>0</v>
      </c>
      <c r="AI15" s="229">
        <v>0</v>
      </c>
      <c r="AJ15" s="229">
        <v>0</v>
      </c>
      <c r="AK15" s="229">
        <v>0</v>
      </c>
      <c r="AL15" s="229">
        <v>0</v>
      </c>
      <c r="AM15" s="418">
        <v>0</v>
      </c>
      <c r="AN15" s="229">
        <v>0</v>
      </c>
      <c r="AO15" s="229">
        <v>0</v>
      </c>
      <c r="AP15" s="462">
        <f t="shared" si="0"/>
        <v>28.4</v>
      </c>
      <c r="AQ15" s="418">
        <f t="shared" si="1"/>
        <v>255.1059001512859</v>
      </c>
      <c r="AR15" s="229" t="str">
        <f t="shared" si="2"/>
        <v>NA</v>
      </c>
      <c r="AS15" s="229"/>
    </row>
    <row r="16" spans="2:45" ht="38.25" hidden="1" outlineLevel="1">
      <c r="B16" s="227" t="s">
        <v>250</v>
      </c>
      <c r="C16" s="228" t="s">
        <v>1080</v>
      </c>
      <c r="D16" s="228"/>
      <c r="E16" s="228" t="s">
        <v>842</v>
      </c>
      <c r="F16" s="241" t="s">
        <v>969</v>
      </c>
      <c r="G16" s="249" t="s">
        <v>969</v>
      </c>
      <c r="H16" s="250"/>
      <c r="I16" s="241"/>
      <c r="J16" s="249"/>
      <c r="K16" s="229"/>
      <c r="L16" s="229"/>
      <c r="M16" s="229"/>
      <c r="N16" s="229"/>
      <c r="O16" s="229"/>
      <c r="P16" s="229"/>
      <c r="Q16" s="229"/>
      <c r="R16" s="229"/>
      <c r="S16" s="229"/>
      <c r="T16" s="229"/>
      <c r="U16" s="229"/>
      <c r="V16" s="229"/>
      <c r="W16" s="229"/>
      <c r="X16" s="229"/>
      <c r="Y16" s="229"/>
      <c r="Z16" s="229"/>
      <c r="AA16" s="229"/>
      <c r="AB16" s="229"/>
      <c r="AC16" s="229"/>
      <c r="AD16" s="418"/>
      <c r="AE16" s="418"/>
      <c r="AF16" s="418">
        <v>5500</v>
      </c>
      <c r="AG16" s="418"/>
      <c r="AH16" s="419" t="s">
        <v>710</v>
      </c>
      <c r="AI16" s="418">
        <v>5588</v>
      </c>
      <c r="AJ16" s="419" t="s">
        <v>982</v>
      </c>
      <c r="AK16" s="240">
        <v>6.7</v>
      </c>
      <c r="AL16" s="419" t="s">
        <v>982</v>
      </c>
      <c r="AM16" s="418">
        <v>47676</v>
      </c>
      <c r="AN16" s="240">
        <v>8.503</v>
      </c>
      <c r="AO16" s="418">
        <v>0</v>
      </c>
      <c r="AP16" s="462">
        <f t="shared" si="0"/>
        <v>0.35981283397172176</v>
      </c>
      <c r="AQ16" s="418">
        <f t="shared" si="1"/>
        <v>109.01716430741017</v>
      </c>
      <c r="AR16" s="229" t="str">
        <f t="shared" si="2"/>
        <v>NA</v>
      </c>
      <c r="AS16" s="229" t="s">
        <v>1247</v>
      </c>
    </row>
    <row r="17" spans="1:45" ht="114.75" collapsed="1">
      <c r="A17" s="31" t="s">
        <v>77</v>
      </c>
      <c r="B17" s="227" t="s">
        <v>1131</v>
      </c>
      <c r="C17" s="228" t="s">
        <v>1080</v>
      </c>
      <c r="D17" s="228" t="s">
        <v>1369</v>
      </c>
      <c r="E17" s="228"/>
      <c r="F17" s="241" t="s">
        <v>969</v>
      </c>
      <c r="G17" s="249" t="s">
        <v>969</v>
      </c>
      <c r="H17" s="250"/>
      <c r="I17" s="241"/>
      <c r="J17" s="249"/>
      <c r="K17" s="229"/>
      <c r="L17" s="229"/>
      <c r="M17" s="229"/>
      <c r="N17" s="229"/>
      <c r="O17" s="229"/>
      <c r="P17" s="229"/>
      <c r="Q17" s="229"/>
      <c r="R17" s="229"/>
      <c r="S17" s="229"/>
      <c r="T17" s="229"/>
      <c r="U17" s="229"/>
      <c r="V17" s="229"/>
      <c r="W17" s="229"/>
      <c r="X17" s="229"/>
      <c r="Y17" s="229"/>
      <c r="Z17" s="229"/>
      <c r="AA17" s="229"/>
      <c r="AB17" s="229"/>
      <c r="AC17" s="229"/>
      <c r="AD17" s="229">
        <f>SUM(AD14:AD16)</f>
        <v>0</v>
      </c>
      <c r="AE17" s="229">
        <f aca="true" t="shared" si="4" ref="AE17:AL17">SUM(AE14:AE16)</f>
        <v>0</v>
      </c>
      <c r="AF17" s="229">
        <f t="shared" si="4"/>
        <v>8500</v>
      </c>
      <c r="AG17" s="229">
        <f t="shared" si="4"/>
        <v>0</v>
      </c>
      <c r="AH17" s="229">
        <f t="shared" si="4"/>
        <v>0</v>
      </c>
      <c r="AI17" s="229">
        <f t="shared" si="4"/>
        <v>7858.987999999999</v>
      </c>
      <c r="AJ17" s="251">
        <v>148175</v>
      </c>
      <c r="AK17" s="229">
        <v>15</v>
      </c>
      <c r="AL17" s="229">
        <f t="shared" si="4"/>
        <v>0</v>
      </c>
      <c r="AM17" s="418">
        <f>SUM(AM14:AM16)</f>
        <v>50922</v>
      </c>
      <c r="AN17" s="229">
        <f>SUM(AN14:AN16)</f>
        <v>9.103</v>
      </c>
      <c r="AO17" s="229">
        <f>SUM(AO14:AO16)</f>
        <v>0</v>
      </c>
      <c r="AP17" s="462">
        <f t="shared" si="0"/>
        <v>0.17082252100840337</v>
      </c>
      <c r="AQ17" s="418">
        <f t="shared" si="1"/>
        <v>612.2855421686747</v>
      </c>
      <c r="AR17" s="229" t="str">
        <f t="shared" si="2"/>
        <v>NA</v>
      </c>
      <c r="AS17" s="229" t="s">
        <v>1193</v>
      </c>
    </row>
    <row r="18" spans="2:45" ht="76.5" hidden="1" outlineLevel="1">
      <c r="B18" s="242" t="s">
        <v>164</v>
      </c>
      <c r="C18" s="243"/>
      <c r="D18" s="243"/>
      <c r="E18" s="243"/>
      <c r="F18" s="244"/>
      <c r="G18" s="247" t="s">
        <v>969</v>
      </c>
      <c r="H18" s="248"/>
      <c r="I18" s="244"/>
      <c r="J18" s="247"/>
      <c r="K18" s="245"/>
      <c r="L18" s="245"/>
      <c r="M18" s="245"/>
      <c r="N18" s="245"/>
      <c r="O18" s="245"/>
      <c r="P18" s="245"/>
      <c r="Q18" s="245"/>
      <c r="R18" s="245"/>
      <c r="S18" s="245"/>
      <c r="T18" s="245"/>
      <c r="U18" s="245"/>
      <c r="V18" s="245"/>
      <c r="W18" s="245"/>
      <c r="X18" s="245"/>
      <c r="Y18" s="245"/>
      <c r="Z18" s="245"/>
      <c r="AA18" s="245"/>
      <c r="AB18" s="245"/>
      <c r="AC18" s="245"/>
      <c r="AD18" s="245"/>
      <c r="AE18" s="245"/>
      <c r="AF18" s="245">
        <v>1500</v>
      </c>
      <c r="AG18" s="245">
        <f>206.221+112.138</f>
        <v>318.35900000000004</v>
      </c>
      <c r="AH18" s="245">
        <f>667.9+603.105</f>
        <v>1271.005</v>
      </c>
      <c r="AI18" s="245">
        <f>874.121+715.243</f>
        <v>1589.364</v>
      </c>
      <c r="AJ18" s="245"/>
      <c r="AK18" s="252"/>
      <c r="AL18" s="245"/>
      <c r="AM18" s="415">
        <v>17552</v>
      </c>
      <c r="AN18" s="245">
        <v>17.57</v>
      </c>
      <c r="AO18" s="245"/>
      <c r="AP18" s="463">
        <f t="shared" si="0"/>
        <v>0.23626485248551798</v>
      </c>
      <c r="AQ18" s="415">
        <f t="shared" si="1"/>
        <v>755.9456896551725</v>
      </c>
      <c r="AR18" s="245" t="e">
        <f t="shared" si="2"/>
        <v>#VALUE!</v>
      </c>
      <c r="AS18" s="245" t="s">
        <v>232</v>
      </c>
    </row>
    <row r="19" spans="2:45" ht="51" hidden="1" outlineLevel="1">
      <c r="B19" s="242" t="s">
        <v>1310</v>
      </c>
      <c r="C19" s="243"/>
      <c r="D19" s="243"/>
      <c r="E19" s="243"/>
      <c r="F19" s="244"/>
      <c r="G19" s="247" t="s">
        <v>969</v>
      </c>
      <c r="H19" s="248"/>
      <c r="I19" s="244"/>
      <c r="J19" s="247"/>
      <c r="K19" s="243" t="s">
        <v>1383</v>
      </c>
      <c r="L19" s="435" t="s">
        <v>1384</v>
      </c>
      <c r="M19" s="425" t="s">
        <v>1385</v>
      </c>
      <c r="N19" s="243" t="s">
        <v>1310</v>
      </c>
      <c r="O19" s="245"/>
      <c r="P19" s="245"/>
      <c r="Q19" s="245"/>
      <c r="R19" s="245"/>
      <c r="S19" s="245"/>
      <c r="T19" s="245"/>
      <c r="U19" s="245"/>
      <c r="V19" s="245"/>
      <c r="W19" s="245"/>
      <c r="X19" s="245"/>
      <c r="Y19" s="245"/>
      <c r="Z19" s="245"/>
      <c r="AA19" s="245"/>
      <c r="AB19" s="245"/>
      <c r="AC19" s="245"/>
      <c r="AD19" s="245"/>
      <c r="AE19" s="245"/>
      <c r="AF19" s="245">
        <v>3000</v>
      </c>
      <c r="AG19" s="245">
        <f>321.598</f>
        <v>321.598</v>
      </c>
      <c r="AH19" s="245">
        <f>2656.664+343.336</f>
        <v>3000</v>
      </c>
      <c r="AI19" s="245">
        <f>SUM(AG19:AH19)</f>
        <v>3321.598</v>
      </c>
      <c r="AJ19" s="245"/>
      <c r="AK19" s="252"/>
      <c r="AL19" s="245"/>
      <c r="AM19" s="415">
        <v>3500</v>
      </c>
      <c r="AN19" s="245">
        <v>41.65</v>
      </c>
      <c r="AO19" s="245"/>
      <c r="AP19" s="463">
        <f t="shared" si="0"/>
        <v>0.28059866962305985</v>
      </c>
      <c r="AQ19" s="415">
        <f t="shared" si="1"/>
        <v>442.55988809232383</v>
      </c>
      <c r="AR19" s="245" t="str">
        <f t="shared" si="2"/>
        <v>NA</v>
      </c>
      <c r="AS19" s="245"/>
    </row>
    <row r="20" spans="2:45" ht="204" hidden="1" outlineLevel="1">
      <c r="B20" s="242" t="s">
        <v>842</v>
      </c>
      <c r="C20" s="243"/>
      <c r="D20" s="243"/>
      <c r="E20" s="243"/>
      <c r="F20" s="420"/>
      <c r="G20" s="421" t="s">
        <v>969</v>
      </c>
      <c r="H20" s="422"/>
      <c r="I20" s="420"/>
      <c r="J20" s="421"/>
      <c r="K20" s="243" t="s">
        <v>166</v>
      </c>
      <c r="L20" s="243" t="s">
        <v>167</v>
      </c>
      <c r="M20" s="423" t="s">
        <v>758</v>
      </c>
      <c r="N20" s="243" t="s">
        <v>1211</v>
      </c>
      <c r="O20" s="243"/>
      <c r="P20" s="243"/>
      <c r="Q20" s="243" t="s">
        <v>1212</v>
      </c>
      <c r="R20" s="243" t="s">
        <v>1213</v>
      </c>
      <c r="S20" s="424" t="s">
        <v>1214</v>
      </c>
      <c r="T20" s="243" t="s">
        <v>759</v>
      </c>
      <c r="U20" s="243" t="s">
        <v>760</v>
      </c>
      <c r="V20" s="425" t="s">
        <v>761</v>
      </c>
      <c r="W20" s="243" t="s">
        <v>762</v>
      </c>
      <c r="X20" s="243" t="s">
        <v>967</v>
      </c>
      <c r="Y20" s="243" t="s">
        <v>1241</v>
      </c>
      <c r="Z20" s="243" t="s">
        <v>968</v>
      </c>
      <c r="AA20" s="243"/>
      <c r="AB20" s="243"/>
      <c r="AC20" s="426"/>
      <c r="AD20" s="415"/>
      <c r="AE20" s="415"/>
      <c r="AF20" s="415">
        <v>2500</v>
      </c>
      <c r="AG20" s="415">
        <f>694+65</f>
        <v>759</v>
      </c>
      <c r="AH20" s="415">
        <f>948+991</f>
        <v>1939</v>
      </c>
      <c r="AI20" s="415">
        <f>SUM(AG20:AH20)</f>
        <v>2698</v>
      </c>
      <c r="AJ20" s="416" t="s">
        <v>982</v>
      </c>
      <c r="AK20" s="417">
        <v>13.6</v>
      </c>
      <c r="AL20" s="416" t="s">
        <v>982</v>
      </c>
      <c r="AM20" s="415">
        <v>95</v>
      </c>
      <c r="AN20" s="417">
        <v>10.576</v>
      </c>
      <c r="AO20" s="415">
        <v>0</v>
      </c>
      <c r="AP20" s="463">
        <f t="shared" si="0"/>
        <v>0.23673415799580227</v>
      </c>
      <c r="AQ20" s="415">
        <f t="shared" si="1"/>
        <v>546.5705742860089</v>
      </c>
      <c r="AR20" s="245" t="str">
        <f t="shared" si="2"/>
        <v>NA</v>
      </c>
      <c r="AS20" s="245"/>
    </row>
    <row r="21" spans="1:45" ht="165.75" collapsed="1">
      <c r="A21" s="31" t="s">
        <v>78</v>
      </c>
      <c r="B21" s="242" t="s">
        <v>1132</v>
      </c>
      <c r="C21" s="243" t="s">
        <v>1080</v>
      </c>
      <c r="D21" s="243" t="s">
        <v>1370</v>
      </c>
      <c r="E21" s="243"/>
      <c r="F21" s="244"/>
      <c r="G21" s="247" t="s">
        <v>969</v>
      </c>
      <c r="H21" s="248"/>
      <c r="I21" s="244"/>
      <c r="J21" s="247"/>
      <c r="K21" s="245"/>
      <c r="L21" s="245"/>
      <c r="M21" s="245"/>
      <c r="N21" s="245"/>
      <c r="O21" s="245"/>
      <c r="P21" s="245"/>
      <c r="Q21" s="245"/>
      <c r="R21" s="245"/>
      <c r="S21" s="245"/>
      <c r="T21" s="245"/>
      <c r="U21" s="245"/>
      <c r="V21" s="245"/>
      <c r="W21" s="245"/>
      <c r="X21" s="245"/>
      <c r="Y21" s="245"/>
      <c r="Z21" s="245"/>
      <c r="AA21" s="245"/>
      <c r="AB21" s="245"/>
      <c r="AC21" s="245"/>
      <c r="AD21" s="245"/>
      <c r="AE21" s="245"/>
      <c r="AF21" s="245">
        <f>SUM(AF18:AF20)</f>
        <v>7000</v>
      </c>
      <c r="AG21" s="245">
        <f>SUM(AG18:AG20)</f>
        <v>1398.957</v>
      </c>
      <c r="AH21" s="245">
        <f>SUM(AH18:AH20)</f>
        <v>6210.005</v>
      </c>
      <c r="AI21" s="245">
        <f>SUM(AI18:AI20)</f>
        <v>7608.9619999999995</v>
      </c>
      <c r="AJ21" s="245">
        <f aca="true" t="shared" si="5" ref="AJ21:AO21">SUM(AJ18:AJ20)</f>
        <v>0</v>
      </c>
      <c r="AK21" s="245">
        <f t="shared" si="5"/>
        <v>13.6</v>
      </c>
      <c r="AL21" s="245">
        <f t="shared" si="5"/>
        <v>0</v>
      </c>
      <c r="AM21" s="415">
        <f t="shared" si="5"/>
        <v>21147</v>
      </c>
      <c r="AN21" s="245">
        <f t="shared" si="5"/>
        <v>69.79599999999999</v>
      </c>
      <c r="AO21" s="245">
        <f t="shared" si="5"/>
        <v>0</v>
      </c>
      <c r="AP21" s="463">
        <f t="shared" si="0"/>
        <v>0.24486465410747377</v>
      </c>
      <c r="AQ21" s="415">
        <f t="shared" si="1"/>
        <v>2142.8966216216218</v>
      </c>
      <c r="AR21" s="245" t="str">
        <f t="shared" si="2"/>
        <v>NA</v>
      </c>
      <c r="AS21" s="245" t="s">
        <v>1136</v>
      </c>
    </row>
    <row r="22" spans="2:45" ht="63.75" hidden="1" outlineLevel="1">
      <c r="B22" s="227" t="s">
        <v>258</v>
      </c>
      <c r="C22" s="427" t="s">
        <v>1137</v>
      </c>
      <c r="D22" s="228"/>
      <c r="E22" s="228" t="s">
        <v>164</v>
      </c>
      <c r="F22" s="241" t="s">
        <v>969</v>
      </c>
      <c r="G22" s="249" t="s">
        <v>969</v>
      </c>
      <c r="H22" s="250"/>
      <c r="I22" s="241"/>
      <c r="J22" s="249"/>
      <c r="K22" s="229"/>
      <c r="L22" s="229"/>
      <c r="M22" s="229"/>
      <c r="N22" s="229"/>
      <c r="O22" s="229"/>
      <c r="P22" s="229"/>
      <c r="Q22" s="229"/>
      <c r="R22" s="229"/>
      <c r="S22" s="229"/>
      <c r="T22" s="229"/>
      <c r="U22" s="229"/>
      <c r="V22" s="229"/>
      <c r="W22" s="229"/>
      <c r="X22" s="229"/>
      <c r="Y22" s="229"/>
      <c r="Z22" s="229"/>
      <c r="AA22" s="229"/>
      <c r="AB22" s="229"/>
      <c r="AC22" s="229"/>
      <c r="AD22" s="229"/>
      <c r="AE22" s="229"/>
      <c r="AF22" s="229">
        <v>1125</v>
      </c>
      <c r="AG22" s="229">
        <v>3.894</v>
      </c>
      <c r="AH22" s="229">
        <v>1012.5</v>
      </c>
      <c r="AI22" s="229">
        <v>1016.394</v>
      </c>
      <c r="AJ22" s="229"/>
      <c r="AK22" s="251"/>
      <c r="AL22" s="229"/>
      <c r="AM22" s="418">
        <v>5950</v>
      </c>
      <c r="AN22" s="229">
        <v>1.66</v>
      </c>
      <c r="AO22" s="229">
        <v>0</v>
      </c>
      <c r="AP22" s="462">
        <f t="shared" si="0"/>
        <v>0.15359745529957697</v>
      </c>
      <c r="AQ22" s="418">
        <f t="shared" si="1"/>
        <v>676.6438191881919</v>
      </c>
      <c r="AR22" s="229" t="str">
        <f t="shared" si="2"/>
        <v>NA</v>
      </c>
      <c r="AS22" s="229" t="s">
        <v>1196</v>
      </c>
    </row>
    <row r="23" spans="2:45" ht="51" hidden="1" outlineLevel="1">
      <c r="B23" s="227" t="s">
        <v>257</v>
      </c>
      <c r="C23" s="427" t="s">
        <v>1137</v>
      </c>
      <c r="D23" s="228"/>
      <c r="E23" s="228" t="s">
        <v>1310</v>
      </c>
      <c r="F23" s="241" t="s">
        <v>969</v>
      </c>
      <c r="G23" s="249" t="s">
        <v>969</v>
      </c>
      <c r="H23" s="250"/>
      <c r="I23" s="241"/>
      <c r="J23" s="249"/>
      <c r="K23" s="228" t="s">
        <v>843</v>
      </c>
      <c r="L23" s="228" t="s">
        <v>844</v>
      </c>
      <c r="M23" s="228" t="s">
        <v>845</v>
      </c>
      <c r="N23" s="228" t="s">
        <v>846</v>
      </c>
      <c r="O23" s="228" t="s">
        <v>844</v>
      </c>
      <c r="P23" s="228" t="s">
        <v>845</v>
      </c>
      <c r="Q23" s="229"/>
      <c r="R23" s="229"/>
      <c r="S23" s="229"/>
      <c r="T23" s="229"/>
      <c r="U23" s="229"/>
      <c r="V23" s="229"/>
      <c r="W23" s="229"/>
      <c r="X23" s="229"/>
      <c r="Y23" s="229"/>
      <c r="Z23" s="229"/>
      <c r="AA23" s="229"/>
      <c r="AB23" s="229"/>
      <c r="AC23" s="229"/>
      <c r="AD23" s="229" t="s">
        <v>982</v>
      </c>
      <c r="AE23" s="229">
        <v>3500</v>
      </c>
      <c r="AF23" s="229">
        <v>3500</v>
      </c>
      <c r="AG23" s="229">
        <v>3.794</v>
      </c>
      <c r="AH23" s="229">
        <v>1750</v>
      </c>
      <c r="AI23" s="229">
        <f>SUM(AG23:AH23)</f>
        <v>1753.794</v>
      </c>
      <c r="AJ23" s="229"/>
      <c r="AK23" s="251"/>
      <c r="AL23" s="229"/>
      <c r="AM23" s="418">
        <v>7423</v>
      </c>
      <c r="AN23" s="229">
        <v>2.32</v>
      </c>
      <c r="AO23" s="229" t="s">
        <v>982</v>
      </c>
      <c r="AP23" s="462">
        <f t="shared" si="0"/>
        <v>0.3465797669858115</v>
      </c>
      <c r="AQ23" s="418">
        <f t="shared" si="1"/>
        <v>3036.3820111167256</v>
      </c>
      <c r="AR23" s="229" t="str">
        <f t="shared" si="2"/>
        <v>NA</v>
      </c>
      <c r="AS23" s="229"/>
    </row>
    <row r="24" spans="2:45" ht="63.75" hidden="1" outlineLevel="1">
      <c r="B24" s="427" t="s">
        <v>251</v>
      </c>
      <c r="C24" s="427" t="s">
        <v>1137</v>
      </c>
      <c r="D24" s="427" t="s">
        <v>1103</v>
      </c>
      <c r="E24" s="427" t="s">
        <v>842</v>
      </c>
      <c r="F24" s="428" t="s">
        <v>969</v>
      </c>
      <c r="G24" s="429" t="s">
        <v>969</v>
      </c>
      <c r="H24" s="430"/>
      <c r="I24" s="428"/>
      <c r="J24" s="429"/>
      <c r="K24" s="228" t="s">
        <v>970</v>
      </c>
      <c r="L24" s="228" t="s">
        <v>971</v>
      </c>
      <c r="M24" s="228" t="s">
        <v>972</v>
      </c>
      <c r="N24" s="431" t="s">
        <v>973</v>
      </c>
      <c r="O24" s="228"/>
      <c r="P24" s="228"/>
      <c r="Q24" s="228"/>
      <c r="R24" s="228"/>
      <c r="S24" s="228"/>
      <c r="T24" s="228"/>
      <c r="U24" s="228"/>
      <c r="V24" s="228"/>
      <c r="W24" s="228"/>
      <c r="X24" s="228" t="s">
        <v>986</v>
      </c>
      <c r="Y24" s="228"/>
      <c r="Z24" s="228"/>
      <c r="AA24" s="228"/>
      <c r="AB24" s="228"/>
      <c r="AC24" s="432"/>
      <c r="AD24" s="418"/>
      <c r="AE24" s="418"/>
      <c r="AF24" s="418">
        <v>2500</v>
      </c>
      <c r="AG24" s="418"/>
      <c r="AH24" s="419" t="s">
        <v>710</v>
      </c>
      <c r="AI24" s="418">
        <v>2531</v>
      </c>
      <c r="AJ24" s="418">
        <v>9000</v>
      </c>
      <c r="AK24" s="240">
        <v>5.7</v>
      </c>
      <c r="AL24" s="419" t="s">
        <v>982</v>
      </c>
      <c r="AM24" s="418">
        <v>9020</v>
      </c>
      <c r="AN24" s="240">
        <v>5.719</v>
      </c>
      <c r="AO24" s="418">
        <v>0</v>
      </c>
      <c r="AP24" s="464">
        <f t="shared" si="0"/>
        <v>0.23614958365257321</v>
      </c>
      <c r="AQ24" s="603">
        <f t="shared" si="1"/>
        <v>1383.7268706229268</v>
      </c>
      <c r="AR24" s="433" t="str">
        <f t="shared" si="2"/>
        <v>NA</v>
      </c>
      <c r="AS24" s="228" t="s">
        <v>703</v>
      </c>
    </row>
    <row r="25" spans="1:45" ht="51" collapsed="1">
      <c r="A25" s="31" t="s">
        <v>79</v>
      </c>
      <c r="B25" s="227" t="s">
        <v>1133</v>
      </c>
      <c r="C25" s="427" t="s">
        <v>1137</v>
      </c>
      <c r="D25" s="228" t="s">
        <v>1134</v>
      </c>
      <c r="E25" s="228" t="s">
        <v>243</v>
      </c>
      <c r="F25" s="241" t="s">
        <v>969</v>
      </c>
      <c r="G25" s="249" t="s">
        <v>969</v>
      </c>
      <c r="H25" s="250"/>
      <c r="I25" s="241"/>
      <c r="J25" s="249"/>
      <c r="K25" s="229"/>
      <c r="L25" s="229"/>
      <c r="M25" s="229"/>
      <c r="N25" s="229"/>
      <c r="O25" s="229"/>
      <c r="P25" s="229"/>
      <c r="Q25" s="229"/>
      <c r="R25" s="229"/>
      <c r="S25" s="229"/>
      <c r="T25" s="229"/>
      <c r="U25" s="229"/>
      <c r="V25" s="229"/>
      <c r="W25" s="229"/>
      <c r="X25" s="229"/>
      <c r="Y25" s="229"/>
      <c r="Z25" s="229"/>
      <c r="AA25" s="229"/>
      <c r="AB25" s="229"/>
      <c r="AC25" s="229"/>
      <c r="AD25" s="229">
        <f>SUM(AD22:AD24)</f>
        <v>0</v>
      </c>
      <c r="AE25" s="229">
        <f aca="true" t="shared" si="6" ref="AE25:AL25">SUM(AE22:AE24)</f>
        <v>3500</v>
      </c>
      <c r="AF25" s="229">
        <f t="shared" si="6"/>
        <v>7125</v>
      </c>
      <c r="AG25" s="229">
        <f t="shared" si="6"/>
        <v>7.688000000000001</v>
      </c>
      <c r="AH25" s="229">
        <f t="shared" si="6"/>
        <v>2762.5</v>
      </c>
      <c r="AI25" s="229">
        <f t="shared" si="6"/>
        <v>5301.188</v>
      </c>
      <c r="AJ25" s="229">
        <f t="shared" si="6"/>
        <v>9000</v>
      </c>
      <c r="AK25" s="229">
        <f t="shared" si="6"/>
        <v>5.7</v>
      </c>
      <c r="AL25" s="229">
        <f t="shared" si="6"/>
        <v>0</v>
      </c>
      <c r="AM25" s="418">
        <f>SUM(AM22:AM24)</f>
        <v>22393</v>
      </c>
      <c r="AN25" s="229">
        <f>SUM(AN22:AN24)</f>
        <v>9.699</v>
      </c>
      <c r="AO25" s="229">
        <f>SUM(AO22:AO24)</f>
        <v>0</v>
      </c>
      <c r="AP25" s="462">
        <f t="shared" si="0"/>
        <v>0.6323985341273477</v>
      </c>
      <c r="AQ25" s="418">
        <f t="shared" si="1"/>
        <v>2060.486567164179</v>
      </c>
      <c r="AR25" s="229">
        <f t="shared" si="2"/>
        <v>18.407013333333335</v>
      </c>
      <c r="AS25" s="229" t="s">
        <v>1136</v>
      </c>
    </row>
    <row r="26" spans="2:45" ht="25.5" hidden="1" outlineLevel="1">
      <c r="B26" s="242" t="s">
        <v>254</v>
      </c>
      <c r="C26" s="243" t="s">
        <v>252</v>
      </c>
      <c r="D26" s="243"/>
      <c r="E26" s="243" t="s">
        <v>164</v>
      </c>
      <c r="F26" s="244" t="s">
        <v>969</v>
      </c>
      <c r="G26" s="247" t="s">
        <v>969</v>
      </c>
      <c r="H26" s="248"/>
      <c r="I26" s="244"/>
      <c r="J26" s="247"/>
      <c r="K26" s="245"/>
      <c r="L26" s="245"/>
      <c r="M26" s="245"/>
      <c r="N26" s="245"/>
      <c r="O26" s="245"/>
      <c r="P26" s="245"/>
      <c r="Q26" s="245"/>
      <c r="R26" s="245"/>
      <c r="S26" s="245"/>
      <c r="T26" s="245"/>
      <c r="U26" s="245"/>
      <c r="V26" s="245"/>
      <c r="W26" s="245"/>
      <c r="X26" s="245"/>
      <c r="Y26" s="245"/>
      <c r="Z26" s="245"/>
      <c r="AA26" s="245"/>
      <c r="AB26" s="245"/>
      <c r="AC26" s="245"/>
      <c r="AD26" s="245"/>
      <c r="AE26" s="245"/>
      <c r="AF26" s="245">
        <v>4000</v>
      </c>
      <c r="AG26" s="245">
        <v>61.507</v>
      </c>
      <c r="AH26" s="245">
        <v>3109.98</v>
      </c>
      <c r="AI26" s="245">
        <f>SUM(AG26:AH26)</f>
        <v>3171.487</v>
      </c>
      <c r="AJ26" s="245"/>
      <c r="AK26" s="252"/>
      <c r="AL26" s="245"/>
      <c r="AM26" s="415">
        <v>12952</v>
      </c>
      <c r="AN26" s="245">
        <v>1.48</v>
      </c>
      <c r="AO26" s="245"/>
      <c r="AP26" s="463">
        <f t="shared" si="0"/>
        <v>0.1325222</v>
      </c>
      <c r="AQ26" s="415">
        <f t="shared" si="1"/>
        <v>272.3058904109589</v>
      </c>
      <c r="AR26" s="245" t="str">
        <f t="shared" si="2"/>
        <v>NA</v>
      </c>
      <c r="AS26" s="245"/>
    </row>
    <row r="27" spans="2:45" ht="51" hidden="1" outlineLevel="1">
      <c r="B27" s="242" t="s">
        <v>255</v>
      </c>
      <c r="C27" s="243" t="s">
        <v>252</v>
      </c>
      <c r="D27" s="243"/>
      <c r="E27" s="243" t="s">
        <v>1310</v>
      </c>
      <c r="F27" s="244" t="s">
        <v>969</v>
      </c>
      <c r="G27" s="247" t="s">
        <v>969</v>
      </c>
      <c r="H27" s="248"/>
      <c r="I27" s="244"/>
      <c r="J27" s="247"/>
      <c r="K27" s="243" t="s">
        <v>847</v>
      </c>
      <c r="L27" s="243" t="s">
        <v>848</v>
      </c>
      <c r="M27" s="243" t="s">
        <v>849</v>
      </c>
      <c r="N27" s="243" t="s">
        <v>850</v>
      </c>
      <c r="O27" s="243" t="s">
        <v>847</v>
      </c>
      <c r="P27" s="243" t="s">
        <v>848</v>
      </c>
      <c r="Q27" s="243" t="s">
        <v>1273</v>
      </c>
      <c r="R27" s="243" t="s">
        <v>1274</v>
      </c>
      <c r="S27" s="245"/>
      <c r="T27" s="245"/>
      <c r="U27" s="245"/>
      <c r="V27" s="245"/>
      <c r="W27" s="245"/>
      <c r="X27" s="245"/>
      <c r="Y27" s="245"/>
      <c r="Z27" s="245"/>
      <c r="AA27" s="245"/>
      <c r="AB27" s="245"/>
      <c r="AC27" s="245"/>
      <c r="AD27" s="245"/>
      <c r="AE27" s="245"/>
      <c r="AF27" s="245">
        <v>7500</v>
      </c>
      <c r="AG27" s="245">
        <v>69.164</v>
      </c>
      <c r="AH27" s="245">
        <f>6045.691+1219.964</f>
        <v>7265.655</v>
      </c>
      <c r="AI27" s="245">
        <f>SUM(AG27:AH27)</f>
        <v>7334.8189999999995</v>
      </c>
      <c r="AJ27" s="245"/>
      <c r="AK27" s="252"/>
      <c r="AL27" s="245"/>
      <c r="AM27" s="415">
        <v>47753.519</v>
      </c>
      <c r="AN27" s="245">
        <v>10.84</v>
      </c>
      <c r="AO27" s="245">
        <v>0</v>
      </c>
      <c r="AP27" s="463">
        <f t="shared" si="0"/>
        <v>0.5789349947102387</v>
      </c>
      <c r="AQ27" s="415">
        <f t="shared" si="1"/>
        <v>4668.246445497631</v>
      </c>
      <c r="AR27" s="245" t="str">
        <f t="shared" si="2"/>
        <v>NA</v>
      </c>
      <c r="AS27" s="245"/>
    </row>
    <row r="28" spans="2:45" ht="140.25" hidden="1" outlineLevel="1">
      <c r="B28" s="242" t="s">
        <v>253</v>
      </c>
      <c r="C28" s="243" t="s">
        <v>252</v>
      </c>
      <c r="D28" s="243"/>
      <c r="E28" s="243" t="s">
        <v>842</v>
      </c>
      <c r="F28" s="420" t="s">
        <v>969</v>
      </c>
      <c r="G28" s="421" t="s">
        <v>969</v>
      </c>
      <c r="H28" s="422"/>
      <c r="I28" s="420"/>
      <c r="J28" s="421"/>
      <c r="K28" s="243" t="s">
        <v>978</v>
      </c>
      <c r="L28" s="243" t="s">
        <v>979</v>
      </c>
      <c r="M28" s="243" t="s">
        <v>980</v>
      </c>
      <c r="N28" s="243" t="s">
        <v>981</v>
      </c>
      <c r="O28" s="243" t="s">
        <v>982</v>
      </c>
      <c r="P28" s="243" t="s">
        <v>982</v>
      </c>
      <c r="Q28" s="243" t="s">
        <v>982</v>
      </c>
      <c r="R28" s="243" t="s">
        <v>982</v>
      </c>
      <c r="S28" s="243" t="s">
        <v>982</v>
      </c>
      <c r="T28" s="243" t="s">
        <v>982</v>
      </c>
      <c r="U28" s="243" t="s">
        <v>982</v>
      </c>
      <c r="V28" s="243" t="s">
        <v>982</v>
      </c>
      <c r="W28" s="243" t="s">
        <v>982</v>
      </c>
      <c r="X28" s="243" t="s">
        <v>982</v>
      </c>
      <c r="Y28" s="243" t="s">
        <v>983</v>
      </c>
      <c r="Z28" s="243" t="s">
        <v>984</v>
      </c>
      <c r="AA28" s="243"/>
      <c r="AB28" s="243"/>
      <c r="AC28" s="426"/>
      <c r="AD28" s="415"/>
      <c r="AE28" s="415"/>
      <c r="AF28" s="415">
        <v>13004</v>
      </c>
      <c r="AG28" s="415">
        <f>224+15</f>
        <v>239</v>
      </c>
      <c r="AH28" s="415">
        <f>6554+5225</f>
        <v>11779</v>
      </c>
      <c r="AI28" s="415">
        <f>SUM(AG28:AH28)</f>
        <v>12018</v>
      </c>
      <c r="AJ28" s="415"/>
      <c r="AK28" s="417"/>
      <c r="AL28" s="415"/>
      <c r="AM28" s="415">
        <v>34676</v>
      </c>
      <c r="AN28" s="417">
        <v>3.958</v>
      </c>
      <c r="AO28" s="415">
        <v>0</v>
      </c>
      <c r="AP28" s="465">
        <f t="shared" si="0"/>
        <v>14.193548387096774</v>
      </c>
      <c r="AQ28" s="604">
        <f t="shared" si="1"/>
        <v>13200</v>
      </c>
      <c r="AR28" s="434">
        <f t="shared" si="2"/>
        <v>6.666666666666667</v>
      </c>
      <c r="AS28" s="243" t="s">
        <v>987</v>
      </c>
    </row>
    <row r="29" spans="1:45" ht="25.5" collapsed="1">
      <c r="A29" s="31" t="s">
        <v>80</v>
      </c>
      <c r="B29" s="242" t="s">
        <v>673</v>
      </c>
      <c r="C29" s="243" t="s">
        <v>252</v>
      </c>
      <c r="D29" s="243"/>
      <c r="E29" s="243" t="s">
        <v>243</v>
      </c>
      <c r="F29" s="244" t="s">
        <v>969</v>
      </c>
      <c r="G29" s="247" t="s">
        <v>969</v>
      </c>
      <c r="H29" s="248"/>
      <c r="I29" s="244"/>
      <c r="J29" s="247"/>
      <c r="K29" s="245"/>
      <c r="L29" s="245"/>
      <c r="M29" s="245"/>
      <c r="N29" s="245"/>
      <c r="O29" s="245"/>
      <c r="P29" s="245"/>
      <c r="Q29" s="245"/>
      <c r="R29" s="245"/>
      <c r="S29" s="245"/>
      <c r="T29" s="245"/>
      <c r="U29" s="245"/>
      <c r="V29" s="245"/>
      <c r="W29" s="245"/>
      <c r="X29" s="245"/>
      <c r="Y29" s="245"/>
      <c r="Z29" s="245"/>
      <c r="AA29" s="245"/>
      <c r="AB29" s="245"/>
      <c r="AC29" s="245"/>
      <c r="AD29" s="245">
        <f aca="true" t="shared" si="7" ref="AD29:AI29">SUM(AD26:AD28)</f>
        <v>0</v>
      </c>
      <c r="AE29" s="245">
        <f t="shared" si="7"/>
        <v>0</v>
      </c>
      <c r="AF29" s="245">
        <f t="shared" si="7"/>
        <v>24504</v>
      </c>
      <c r="AG29" s="245">
        <f t="shared" si="7"/>
        <v>369.671</v>
      </c>
      <c r="AH29" s="245">
        <f t="shared" si="7"/>
        <v>22154.635000000002</v>
      </c>
      <c r="AI29" s="245">
        <f t="shared" si="7"/>
        <v>22524.306</v>
      </c>
      <c r="AJ29" s="245">
        <f aca="true" t="shared" si="8" ref="AJ29:AO29">SUM(AJ26:AJ28)</f>
        <v>0</v>
      </c>
      <c r="AK29" s="245">
        <f t="shared" si="8"/>
        <v>0</v>
      </c>
      <c r="AL29" s="245">
        <f t="shared" si="8"/>
        <v>0</v>
      </c>
      <c r="AM29" s="415">
        <f t="shared" si="8"/>
        <v>95381.519</v>
      </c>
      <c r="AN29" s="245">
        <f t="shared" si="8"/>
        <v>16.278</v>
      </c>
      <c r="AO29" s="245">
        <f t="shared" si="8"/>
        <v>0</v>
      </c>
      <c r="AP29" s="463">
        <f t="shared" si="0"/>
        <v>0.47184562362817206</v>
      </c>
      <c r="AQ29" s="415">
        <f t="shared" si="1"/>
        <v>1314.0331367292224</v>
      </c>
      <c r="AR29" s="245">
        <f t="shared" si="2"/>
        <v>18.31593273542601</v>
      </c>
      <c r="AS29" s="245"/>
    </row>
    <row r="30" spans="2:45" ht="25.5" hidden="1" outlineLevel="1">
      <c r="B30" s="227" t="s">
        <v>262</v>
      </c>
      <c r="C30" s="228" t="s">
        <v>1080</v>
      </c>
      <c r="D30" s="228"/>
      <c r="E30" s="228"/>
      <c r="F30" s="241" t="s">
        <v>969</v>
      </c>
      <c r="G30" s="249" t="s">
        <v>969</v>
      </c>
      <c r="H30" s="250"/>
      <c r="I30" s="241"/>
      <c r="J30" s="249"/>
      <c r="K30" s="229"/>
      <c r="L30" s="229"/>
      <c r="M30" s="229"/>
      <c r="N30" s="229"/>
      <c r="O30" s="229"/>
      <c r="P30" s="229"/>
      <c r="Q30" s="229"/>
      <c r="R30" s="229"/>
      <c r="S30" s="229"/>
      <c r="T30" s="229"/>
      <c r="U30" s="229"/>
      <c r="V30" s="229"/>
      <c r="W30" s="229"/>
      <c r="X30" s="229"/>
      <c r="Y30" s="229"/>
      <c r="Z30" s="229"/>
      <c r="AA30" s="229"/>
      <c r="AB30" s="229"/>
      <c r="AC30" s="229"/>
      <c r="AD30" s="229"/>
      <c r="AE30" s="229"/>
      <c r="AF30" s="229">
        <v>1500</v>
      </c>
      <c r="AG30" s="229"/>
      <c r="AH30" s="229"/>
      <c r="AI30" s="229">
        <v>1380.526</v>
      </c>
      <c r="AJ30" s="229"/>
      <c r="AK30" s="251"/>
      <c r="AL30" s="229"/>
      <c r="AM30" s="418">
        <v>2183</v>
      </c>
      <c r="AN30" s="229">
        <v>0.67</v>
      </c>
      <c r="AO30" s="229">
        <v>75</v>
      </c>
      <c r="AP30" s="462" t="str">
        <f t="shared" si="0"/>
        <v>NA</v>
      </c>
      <c r="AQ30" s="418" t="str">
        <f t="shared" si="1"/>
        <v>NA</v>
      </c>
      <c r="AR30" s="229" t="str">
        <f t="shared" si="2"/>
        <v>NA</v>
      </c>
      <c r="AS30" s="229"/>
    </row>
    <row r="31" spans="2:45" ht="25.5" hidden="1" outlineLevel="1">
      <c r="B31" s="227" t="s">
        <v>261</v>
      </c>
      <c r="C31" s="228" t="s">
        <v>1080</v>
      </c>
      <c r="D31" s="228"/>
      <c r="E31" s="228" t="s">
        <v>1310</v>
      </c>
      <c r="F31" s="241" t="s">
        <v>969</v>
      </c>
      <c r="G31" s="249" t="s">
        <v>969</v>
      </c>
      <c r="H31" s="250"/>
      <c r="I31" s="241"/>
      <c r="J31" s="249"/>
      <c r="K31" s="228" t="s">
        <v>1240</v>
      </c>
      <c r="L31" s="436" t="s">
        <v>855</v>
      </c>
      <c r="M31" s="437"/>
      <c r="N31" s="228" t="s">
        <v>1310</v>
      </c>
      <c r="O31" s="229"/>
      <c r="P31" s="229"/>
      <c r="Q31" s="229"/>
      <c r="R31" s="229"/>
      <c r="S31" s="229"/>
      <c r="T31" s="229"/>
      <c r="U31" s="229"/>
      <c r="V31" s="229"/>
      <c r="W31" s="229"/>
      <c r="X31" s="229"/>
      <c r="Y31" s="229"/>
      <c r="Z31" s="229"/>
      <c r="AA31" s="229"/>
      <c r="AB31" s="229"/>
      <c r="AC31" s="229"/>
      <c r="AD31" s="229" t="s">
        <v>982</v>
      </c>
      <c r="AE31" s="229">
        <v>2600</v>
      </c>
      <c r="AF31" s="229">
        <f>SUM(AD31:AE31)</f>
        <v>2600</v>
      </c>
      <c r="AG31" s="229">
        <v>78.422</v>
      </c>
      <c r="AH31" s="229">
        <f>1231.062+678.349</f>
        <v>1909.411</v>
      </c>
      <c r="AI31" s="229">
        <f>SUM(AG31:AH31)</f>
        <v>1987.833</v>
      </c>
      <c r="AJ31" s="229"/>
      <c r="AK31" s="251"/>
      <c r="AL31" s="229"/>
      <c r="AM31" s="418">
        <v>15000</v>
      </c>
      <c r="AN31" s="251">
        <v>7.3</v>
      </c>
      <c r="AO31" s="229"/>
      <c r="AP31" s="462">
        <f t="shared" si="0"/>
        <v>0.6993154362416107</v>
      </c>
      <c r="AQ31" s="418">
        <f t="shared" si="1"/>
        <v>52.099000000000004</v>
      </c>
      <c r="AR31" s="229" t="str">
        <f t="shared" si="2"/>
        <v>NA</v>
      </c>
      <c r="AS31" s="229"/>
    </row>
    <row r="32" spans="2:45" ht="51" hidden="1" outlineLevel="1">
      <c r="B32" s="427" t="s">
        <v>259</v>
      </c>
      <c r="C32" s="228" t="s">
        <v>1080</v>
      </c>
      <c r="D32" s="427" t="s">
        <v>1104</v>
      </c>
      <c r="E32" s="427" t="s">
        <v>842</v>
      </c>
      <c r="F32" s="428" t="s">
        <v>969</v>
      </c>
      <c r="G32" s="429" t="s">
        <v>969</v>
      </c>
      <c r="H32" s="430"/>
      <c r="I32" s="428"/>
      <c r="J32" s="429"/>
      <c r="K32" s="228" t="s">
        <v>974</v>
      </c>
      <c r="L32" s="228" t="s">
        <v>975</v>
      </c>
      <c r="M32" s="237" t="s">
        <v>976</v>
      </c>
      <c r="N32" s="228" t="s">
        <v>1381</v>
      </c>
      <c r="O32" s="228" t="s">
        <v>1381</v>
      </c>
      <c r="P32" s="228" t="s">
        <v>1381</v>
      </c>
      <c r="Q32" s="228" t="s">
        <v>977</v>
      </c>
      <c r="R32" s="228"/>
      <c r="S32" s="228"/>
      <c r="T32" s="228" t="s">
        <v>1381</v>
      </c>
      <c r="U32" s="228" t="s">
        <v>1381</v>
      </c>
      <c r="V32" s="228" t="s">
        <v>1381</v>
      </c>
      <c r="W32" s="228" t="s">
        <v>1381</v>
      </c>
      <c r="X32" s="228" t="s">
        <v>1381</v>
      </c>
      <c r="Y32" s="228" t="s">
        <v>1381</v>
      </c>
      <c r="Z32" s="228" t="s">
        <v>1381</v>
      </c>
      <c r="AA32" s="228"/>
      <c r="AB32" s="228"/>
      <c r="AC32" s="432"/>
      <c r="AD32" s="418"/>
      <c r="AE32" s="418"/>
      <c r="AF32" s="418">
        <v>4400</v>
      </c>
      <c r="AG32" s="418"/>
      <c r="AH32" s="418"/>
      <c r="AI32" s="418">
        <v>4925</v>
      </c>
      <c r="AJ32" s="418"/>
      <c r="AK32" s="240"/>
      <c r="AL32" s="418"/>
      <c r="AM32" s="418">
        <v>8507</v>
      </c>
      <c r="AN32" s="240">
        <v>1.055</v>
      </c>
      <c r="AO32" s="418">
        <v>0</v>
      </c>
      <c r="AP32" s="464">
        <f t="shared" si="0"/>
        <v>0.08352577319587629</v>
      </c>
      <c r="AQ32" s="603">
        <f t="shared" si="1"/>
        <v>810.2</v>
      </c>
      <c r="AR32" s="433" t="str">
        <f t="shared" si="2"/>
        <v>NA</v>
      </c>
      <c r="AS32" s="228" t="s">
        <v>1386</v>
      </c>
    </row>
    <row r="33" spans="2:45" ht="12.75" hidden="1" outlineLevel="1">
      <c r="B33" s="227" t="s">
        <v>260</v>
      </c>
      <c r="C33" s="228" t="s">
        <v>1080</v>
      </c>
      <c r="D33" s="228"/>
      <c r="E33" s="228" t="s">
        <v>358</v>
      </c>
      <c r="F33" s="241" t="s">
        <v>969</v>
      </c>
      <c r="G33" s="249" t="s">
        <v>969</v>
      </c>
      <c r="H33" s="250"/>
      <c r="I33" s="241"/>
      <c r="J33" s="249"/>
      <c r="K33" s="229"/>
      <c r="L33" s="229"/>
      <c r="M33" s="229"/>
      <c r="N33" s="229"/>
      <c r="O33" s="229"/>
      <c r="P33" s="229"/>
      <c r="Q33" s="229"/>
      <c r="R33" s="229"/>
      <c r="S33" s="229"/>
      <c r="T33" s="229"/>
      <c r="U33" s="229"/>
      <c r="V33" s="229"/>
      <c r="W33" s="229"/>
      <c r="X33" s="229"/>
      <c r="Y33" s="229"/>
      <c r="Z33" s="229"/>
      <c r="AA33" s="229"/>
      <c r="AB33" s="229"/>
      <c r="AC33" s="229"/>
      <c r="AD33" s="229"/>
      <c r="AE33" s="229"/>
      <c r="AF33" s="229">
        <v>4000</v>
      </c>
      <c r="AG33" s="229"/>
      <c r="AH33" s="229"/>
      <c r="AI33" s="229">
        <v>3960</v>
      </c>
      <c r="AJ33" s="229"/>
      <c r="AK33" s="251"/>
      <c r="AL33" s="229"/>
      <c r="AM33" s="418">
        <v>279</v>
      </c>
      <c r="AN33" s="229">
        <v>0.3</v>
      </c>
      <c r="AO33" s="229">
        <v>594</v>
      </c>
      <c r="AP33" s="462">
        <f t="shared" si="0"/>
        <v>0.5683615819209039</v>
      </c>
      <c r="AQ33" s="418">
        <f t="shared" si="1"/>
        <v>7621.212121212121</v>
      </c>
      <c r="AR33" s="229" t="str">
        <f t="shared" si="2"/>
        <v>NA</v>
      </c>
      <c r="AS33" s="229"/>
    </row>
    <row r="34" spans="1:45" ht="38.25" collapsed="1">
      <c r="A34" s="31" t="s">
        <v>81</v>
      </c>
      <c r="B34" s="227" t="s">
        <v>1135</v>
      </c>
      <c r="C34" s="228" t="s">
        <v>1080</v>
      </c>
      <c r="D34" s="228" t="s">
        <v>1134</v>
      </c>
      <c r="E34" s="228" t="s">
        <v>243</v>
      </c>
      <c r="F34" s="241" t="s">
        <v>969</v>
      </c>
      <c r="G34" s="241" t="s">
        <v>969</v>
      </c>
      <c r="H34" s="241"/>
      <c r="I34" s="241"/>
      <c r="J34" s="241"/>
      <c r="K34" s="229"/>
      <c r="L34" s="229"/>
      <c r="M34" s="229"/>
      <c r="N34" s="229"/>
      <c r="O34" s="229"/>
      <c r="P34" s="229"/>
      <c r="Q34" s="229"/>
      <c r="R34" s="229"/>
      <c r="S34" s="229"/>
      <c r="T34" s="229"/>
      <c r="U34" s="229"/>
      <c r="V34" s="229"/>
      <c r="W34" s="229"/>
      <c r="X34" s="229"/>
      <c r="Y34" s="229"/>
      <c r="Z34" s="229"/>
      <c r="AA34" s="229"/>
      <c r="AB34" s="229"/>
      <c r="AC34" s="229"/>
      <c r="AD34" s="229">
        <f>SUM(AD30:AD33)</f>
        <v>0</v>
      </c>
      <c r="AE34" s="229">
        <f aca="true" t="shared" si="9" ref="AE34:AO34">SUM(AE30:AE33)</f>
        <v>2600</v>
      </c>
      <c r="AF34" s="229">
        <f t="shared" si="9"/>
        <v>12500</v>
      </c>
      <c r="AG34" s="229">
        <f t="shared" si="9"/>
        <v>78.422</v>
      </c>
      <c r="AH34" s="229">
        <f t="shared" si="9"/>
        <v>1909.411</v>
      </c>
      <c r="AI34" s="229">
        <f t="shared" si="9"/>
        <v>12253.359</v>
      </c>
      <c r="AJ34" s="229">
        <f t="shared" si="9"/>
        <v>0</v>
      </c>
      <c r="AK34" s="229">
        <f t="shared" si="9"/>
        <v>0</v>
      </c>
      <c r="AL34" s="229">
        <f t="shared" si="9"/>
        <v>0</v>
      </c>
      <c r="AM34" s="418">
        <f t="shared" si="9"/>
        <v>25969</v>
      </c>
      <c r="AN34" s="229">
        <f t="shared" si="9"/>
        <v>9.325000000000001</v>
      </c>
      <c r="AO34" s="229">
        <f t="shared" si="9"/>
        <v>669</v>
      </c>
      <c r="AP34" s="462">
        <f t="shared" si="0"/>
        <v>0.2517985611510791</v>
      </c>
      <c r="AQ34" s="418">
        <f t="shared" si="1"/>
        <v>7500</v>
      </c>
      <c r="AR34" s="229" t="str">
        <f t="shared" si="2"/>
        <v>NA</v>
      </c>
      <c r="AS34" s="229" t="s">
        <v>1136</v>
      </c>
    </row>
    <row r="35" spans="2:45" ht="12.75">
      <c r="B35" s="179" t="s">
        <v>776</v>
      </c>
      <c r="C35" s="171"/>
      <c r="D35" s="171"/>
      <c r="E35" s="171"/>
      <c r="F35" s="172"/>
      <c r="G35" s="172"/>
      <c r="H35" s="172"/>
      <c r="I35" s="172"/>
      <c r="J35" s="172"/>
      <c r="K35" s="173"/>
      <c r="L35" s="173"/>
      <c r="M35" s="173"/>
      <c r="N35" s="173"/>
      <c r="O35" s="173"/>
      <c r="P35" s="173"/>
      <c r="Q35" s="173"/>
      <c r="R35" s="173"/>
      <c r="S35" s="173"/>
      <c r="T35" s="173"/>
      <c r="U35" s="173"/>
      <c r="V35" s="173"/>
      <c r="W35" s="173"/>
      <c r="X35" s="173"/>
      <c r="Y35" s="173"/>
      <c r="Z35" s="173"/>
      <c r="AA35" s="173"/>
      <c r="AB35" s="173"/>
      <c r="AC35" s="173"/>
      <c r="AD35" s="49"/>
      <c r="AE35" s="49"/>
      <c r="AF35" s="49"/>
      <c r="AG35" s="49"/>
      <c r="AH35" s="49"/>
      <c r="AI35" s="49"/>
      <c r="AJ35" s="49"/>
      <c r="AK35" s="180"/>
      <c r="AL35" s="49"/>
      <c r="AM35" s="180"/>
      <c r="AN35" s="49"/>
      <c r="AO35" s="49"/>
      <c r="AP35" s="461">
        <f t="shared" si="0"/>
        <v>3.696629213483146</v>
      </c>
      <c r="AQ35" s="180">
        <f t="shared" si="1"/>
        <v>15666.666666666666</v>
      </c>
      <c r="AR35" s="49" t="str">
        <f t="shared" si="2"/>
        <v>NA</v>
      </c>
      <c r="AS35" s="49"/>
    </row>
    <row r="36" spans="1:45" ht="51">
      <c r="A36" s="31" t="s">
        <v>82</v>
      </c>
      <c r="B36" s="407" t="s">
        <v>1184</v>
      </c>
      <c r="C36" s="253" t="s">
        <v>774</v>
      </c>
      <c r="D36" s="118" t="s">
        <v>775</v>
      </c>
      <c r="E36" s="41"/>
      <c r="F36" s="412"/>
      <c r="G36" s="72" t="s">
        <v>969</v>
      </c>
      <c r="H36" s="72"/>
      <c r="I36" s="72"/>
      <c r="J36" s="72"/>
      <c r="K36" s="20"/>
      <c r="L36" s="20"/>
      <c r="M36" s="20"/>
      <c r="N36" s="20"/>
      <c r="O36" s="20"/>
      <c r="P36" s="20"/>
      <c r="Q36" s="20"/>
      <c r="R36" s="20"/>
      <c r="S36" s="20"/>
      <c r="T36" s="20"/>
      <c r="U36" s="20"/>
      <c r="V36" s="20"/>
      <c r="W36" s="20"/>
      <c r="X36" s="20"/>
      <c r="Y36" s="20"/>
      <c r="Z36" s="20"/>
      <c r="AA36" s="20"/>
      <c r="AB36" s="20"/>
      <c r="AC36" s="20"/>
      <c r="AD36" s="60"/>
      <c r="AE36" s="60"/>
      <c r="AF36" s="60">
        <v>100</v>
      </c>
      <c r="AG36" s="60">
        <v>3.408</v>
      </c>
      <c r="AH36" s="60">
        <v>100.79</v>
      </c>
      <c r="AI36" s="60">
        <f>SUM(AG36:AH36)</f>
        <v>104.19800000000001</v>
      </c>
      <c r="AJ36" s="60"/>
      <c r="AK36" s="71"/>
      <c r="AL36" s="60"/>
      <c r="AM36" s="601">
        <v>149</v>
      </c>
      <c r="AN36" s="60">
        <v>2</v>
      </c>
      <c r="AO36" s="60"/>
      <c r="AP36" s="466">
        <f t="shared" si="0"/>
        <v>0.9933333333333333</v>
      </c>
      <c r="AQ36" s="601">
        <f t="shared" si="1"/>
        <v>4966.666666666667</v>
      </c>
      <c r="AR36" s="60" t="str">
        <f t="shared" si="2"/>
        <v>NA</v>
      </c>
      <c r="AS36" s="60"/>
    </row>
    <row r="37" spans="1:45" ht="63.75">
      <c r="A37" s="31" t="s">
        <v>83</v>
      </c>
      <c r="B37" s="408" t="s">
        <v>1185</v>
      </c>
      <c r="C37" s="254" t="s">
        <v>774</v>
      </c>
      <c r="D37" s="184" t="s">
        <v>1353</v>
      </c>
      <c r="E37" s="41"/>
      <c r="F37" s="412"/>
      <c r="G37" s="72"/>
      <c r="H37" s="72"/>
      <c r="I37" s="72"/>
      <c r="J37" s="72"/>
      <c r="K37" s="20"/>
      <c r="L37" s="20"/>
      <c r="M37" s="20"/>
      <c r="N37" s="20"/>
      <c r="O37" s="20"/>
      <c r="P37" s="20"/>
      <c r="Q37" s="20"/>
      <c r="R37" s="20"/>
      <c r="S37" s="20"/>
      <c r="T37" s="20"/>
      <c r="U37" s="20"/>
      <c r="V37" s="20"/>
      <c r="W37" s="20"/>
      <c r="X37" s="20"/>
      <c r="Y37" s="20"/>
      <c r="Z37" s="20"/>
      <c r="AA37" s="20"/>
      <c r="AB37" s="20"/>
      <c r="AC37" s="20"/>
      <c r="AD37" s="60"/>
      <c r="AE37" s="60"/>
      <c r="AF37" s="60">
        <v>50</v>
      </c>
      <c r="AG37" s="60"/>
      <c r="AH37" s="60"/>
      <c r="AI37" s="60">
        <v>32.408</v>
      </c>
      <c r="AJ37" s="60"/>
      <c r="AK37" s="71"/>
      <c r="AL37" s="60"/>
      <c r="AM37" s="601">
        <v>388</v>
      </c>
      <c r="AN37" s="60">
        <v>0.04</v>
      </c>
      <c r="AO37" s="60"/>
      <c r="AP37" s="466">
        <f t="shared" si="0"/>
        <v>0.12014329851405033</v>
      </c>
      <c r="AQ37" s="601">
        <f t="shared" si="1"/>
        <v>591.7492753623189</v>
      </c>
      <c r="AR37" s="60" t="str">
        <f t="shared" si="2"/>
        <v>NA</v>
      </c>
      <c r="AS37" s="60"/>
    </row>
    <row r="38" spans="1:45" ht="127.5">
      <c r="A38" s="31" t="s">
        <v>84</v>
      </c>
      <c r="B38" s="409" t="s">
        <v>1249</v>
      </c>
      <c r="C38" s="33" t="s">
        <v>1085</v>
      </c>
      <c r="D38" s="40" t="s">
        <v>1108</v>
      </c>
      <c r="E38" s="41"/>
      <c r="F38" s="413" t="s">
        <v>969</v>
      </c>
      <c r="G38" s="197" t="s">
        <v>969</v>
      </c>
      <c r="H38" s="198"/>
      <c r="I38" s="196"/>
      <c r="J38" s="197"/>
      <c r="K38" s="22" t="s">
        <v>989</v>
      </c>
      <c r="L38" s="22" t="s">
        <v>990</v>
      </c>
      <c r="M38" s="119" t="s">
        <v>991</v>
      </c>
      <c r="N38" s="22" t="s">
        <v>1086</v>
      </c>
      <c r="O38" s="22" t="s">
        <v>1087</v>
      </c>
      <c r="P38" s="22" t="s">
        <v>1088</v>
      </c>
      <c r="Q38" s="22" t="s">
        <v>982</v>
      </c>
      <c r="R38" s="22"/>
      <c r="S38" s="22"/>
      <c r="T38" s="22" t="s">
        <v>1089</v>
      </c>
      <c r="U38" s="22" t="s">
        <v>1090</v>
      </c>
      <c r="V38" s="22" t="s">
        <v>1091</v>
      </c>
      <c r="W38" s="22" t="s">
        <v>1216</v>
      </c>
      <c r="X38" s="22"/>
      <c r="Y38" s="22"/>
      <c r="Z38" s="22" t="s">
        <v>969</v>
      </c>
      <c r="AA38" s="22"/>
      <c r="AB38" s="22"/>
      <c r="AC38" s="46"/>
      <c r="AD38" s="177"/>
      <c r="AE38" s="177"/>
      <c r="AF38" s="177">
        <v>500</v>
      </c>
      <c r="AG38" s="54"/>
      <c r="AH38" s="177"/>
      <c r="AI38" s="177">
        <v>503</v>
      </c>
      <c r="AJ38" s="177">
        <v>1780</v>
      </c>
      <c r="AK38" s="116">
        <v>0.3</v>
      </c>
      <c r="AL38" s="177"/>
      <c r="AM38" s="177">
        <v>885</v>
      </c>
      <c r="AN38" s="116">
        <v>0.066</v>
      </c>
      <c r="AO38" s="177">
        <v>0</v>
      </c>
      <c r="AP38" s="466">
        <f t="shared" si="0"/>
        <v>0.2643490758573112</v>
      </c>
      <c r="AQ38" s="601">
        <f t="shared" si="1"/>
        <v>383.185</v>
      </c>
      <c r="AR38" s="60" t="str">
        <f t="shared" si="2"/>
        <v>NA</v>
      </c>
      <c r="AS38" s="60" t="s">
        <v>1237</v>
      </c>
    </row>
    <row r="39" spans="1:45" ht="114.75">
      <c r="A39" s="31" t="s">
        <v>85</v>
      </c>
      <c r="B39" s="409" t="s">
        <v>1250</v>
      </c>
      <c r="C39" s="33" t="s">
        <v>1010</v>
      </c>
      <c r="D39" s="40" t="s">
        <v>1107</v>
      </c>
      <c r="E39" s="41"/>
      <c r="F39" s="413" t="s">
        <v>969</v>
      </c>
      <c r="G39" s="197" t="s">
        <v>969</v>
      </c>
      <c r="H39" s="198"/>
      <c r="I39" s="196"/>
      <c r="J39" s="197"/>
      <c r="K39" s="20" t="s">
        <v>989</v>
      </c>
      <c r="L39" s="20" t="s">
        <v>990</v>
      </c>
      <c r="M39" s="121" t="s">
        <v>991</v>
      </c>
      <c r="N39" s="23" t="s">
        <v>1011</v>
      </c>
      <c r="O39" s="22" t="s">
        <v>1012</v>
      </c>
      <c r="P39" s="22" t="s">
        <v>1013</v>
      </c>
      <c r="Q39" s="22" t="s">
        <v>982</v>
      </c>
      <c r="R39" s="22"/>
      <c r="S39" s="22"/>
      <c r="T39" s="22" t="s">
        <v>1014</v>
      </c>
      <c r="U39" s="22" t="s">
        <v>1083</v>
      </c>
      <c r="V39" s="22"/>
      <c r="W39" s="22" t="s">
        <v>762</v>
      </c>
      <c r="X39" s="22"/>
      <c r="Y39" s="22"/>
      <c r="Z39" s="22" t="s">
        <v>1084</v>
      </c>
      <c r="AA39" s="22"/>
      <c r="AB39" s="22"/>
      <c r="AC39" s="46"/>
      <c r="AD39" s="177"/>
      <c r="AE39" s="177"/>
      <c r="AF39" s="177">
        <v>100</v>
      </c>
      <c r="AG39" s="54"/>
      <c r="AH39" s="177"/>
      <c r="AI39" s="177">
        <v>105</v>
      </c>
      <c r="AJ39" s="177">
        <v>400</v>
      </c>
      <c r="AK39" s="116">
        <v>0.01</v>
      </c>
      <c r="AL39" s="177"/>
      <c r="AM39" s="177">
        <v>417</v>
      </c>
      <c r="AN39" s="116">
        <v>0.014</v>
      </c>
      <c r="AO39" s="177">
        <v>0</v>
      </c>
      <c r="AP39" s="466">
        <f t="shared" si="0"/>
        <v>5.812624584717608</v>
      </c>
      <c r="AQ39" s="601">
        <f t="shared" si="1"/>
        <v>1740.549144448866</v>
      </c>
      <c r="AR39" s="60" t="str">
        <f t="shared" si="2"/>
        <v>NA</v>
      </c>
      <c r="AS39" s="60" t="s">
        <v>1237</v>
      </c>
    </row>
    <row r="40" spans="1:45" ht="114.75">
      <c r="A40" s="31" t="s">
        <v>86</v>
      </c>
      <c r="B40" s="410" t="s">
        <v>1251</v>
      </c>
      <c r="C40" s="40" t="s">
        <v>994</v>
      </c>
      <c r="D40" s="40" t="s">
        <v>1106</v>
      </c>
      <c r="E40" s="41"/>
      <c r="F40" s="414" t="s">
        <v>969</v>
      </c>
      <c r="G40" s="28" t="s">
        <v>969</v>
      </c>
      <c r="H40" s="29"/>
      <c r="I40" s="27"/>
      <c r="J40" s="28"/>
      <c r="K40" s="1" t="s">
        <v>989</v>
      </c>
      <c r="L40" s="1" t="s">
        <v>990</v>
      </c>
      <c r="M40" s="120" t="s">
        <v>995</v>
      </c>
      <c r="N40" s="1" t="s">
        <v>996</v>
      </c>
      <c r="O40" s="1" t="s">
        <v>997</v>
      </c>
      <c r="P40" s="1" t="s">
        <v>998</v>
      </c>
      <c r="Q40" s="1" t="s">
        <v>982</v>
      </c>
      <c r="R40" s="1"/>
      <c r="S40" s="1"/>
      <c r="T40" s="1" t="s">
        <v>924</v>
      </c>
      <c r="U40" s="1" t="s">
        <v>999</v>
      </c>
      <c r="V40" s="1" t="s">
        <v>1000</v>
      </c>
      <c r="W40" s="1" t="s">
        <v>1216</v>
      </c>
      <c r="X40" s="1" t="s">
        <v>1001</v>
      </c>
      <c r="Y40" s="1" t="s">
        <v>1197</v>
      </c>
      <c r="Z40" s="1" t="s">
        <v>969</v>
      </c>
      <c r="AA40" s="1"/>
      <c r="AB40" s="1"/>
      <c r="AC40" s="44"/>
      <c r="AD40" s="177"/>
      <c r="AE40" s="177"/>
      <c r="AF40" s="177">
        <v>300</v>
      </c>
      <c r="AG40" s="54"/>
      <c r="AH40" s="177"/>
      <c r="AI40" s="177">
        <v>329</v>
      </c>
      <c r="AJ40" s="177">
        <v>1200</v>
      </c>
      <c r="AK40" s="116">
        <v>0.3</v>
      </c>
      <c r="AL40" s="177">
        <v>0</v>
      </c>
      <c r="AM40" s="177">
        <v>89</v>
      </c>
      <c r="AN40" s="116">
        <v>0.021</v>
      </c>
      <c r="AO40" s="177">
        <v>0</v>
      </c>
      <c r="AP40" s="466" t="str">
        <f t="shared" si="0"/>
        <v>NA</v>
      </c>
      <c r="AQ40" s="601" t="str">
        <f t="shared" si="1"/>
        <v>NA</v>
      </c>
      <c r="AR40" s="60" t="str">
        <f t="shared" si="2"/>
        <v>NA</v>
      </c>
      <c r="AS40" s="60" t="s">
        <v>1237</v>
      </c>
    </row>
    <row r="41" spans="1:45" ht="76.5">
      <c r="A41" s="31" t="s">
        <v>237</v>
      </c>
      <c r="B41" s="410" t="s">
        <v>1252</v>
      </c>
      <c r="C41" s="58" t="s">
        <v>1002</v>
      </c>
      <c r="D41" s="40" t="s">
        <v>1003</v>
      </c>
      <c r="E41" s="41"/>
      <c r="F41" s="412" t="s">
        <v>969</v>
      </c>
      <c r="G41" s="194" t="s">
        <v>969</v>
      </c>
      <c r="H41" s="195"/>
      <c r="I41" s="72"/>
      <c r="J41" s="194"/>
      <c r="K41" s="20" t="s">
        <v>989</v>
      </c>
      <c r="L41" s="20" t="s">
        <v>990</v>
      </c>
      <c r="M41" s="120" t="s">
        <v>991</v>
      </c>
      <c r="N41" s="21" t="s">
        <v>1004</v>
      </c>
      <c r="O41" s="20" t="s">
        <v>1005</v>
      </c>
      <c r="P41" s="20" t="s">
        <v>1006</v>
      </c>
      <c r="Q41" s="20" t="s">
        <v>982</v>
      </c>
      <c r="R41" s="20"/>
      <c r="S41" s="20"/>
      <c r="T41" s="20" t="s">
        <v>1007</v>
      </c>
      <c r="U41" s="20"/>
      <c r="V41" s="119" t="s">
        <v>1008</v>
      </c>
      <c r="W41" s="20" t="s">
        <v>1216</v>
      </c>
      <c r="X41" s="20"/>
      <c r="Y41" s="20" t="s">
        <v>1009</v>
      </c>
      <c r="Z41" s="20" t="s">
        <v>969</v>
      </c>
      <c r="AA41" s="20"/>
      <c r="AB41" s="20"/>
      <c r="AC41" s="45"/>
      <c r="AD41" s="177"/>
      <c r="AE41" s="177"/>
      <c r="AF41" s="177">
        <v>291</v>
      </c>
      <c r="AG41" s="54"/>
      <c r="AH41" s="177"/>
      <c r="AI41" s="177">
        <v>298</v>
      </c>
      <c r="AJ41" s="177">
        <v>300</v>
      </c>
      <c r="AK41" s="116">
        <v>0.1</v>
      </c>
      <c r="AL41" s="177">
        <v>0</v>
      </c>
      <c r="AM41" s="177">
        <v>300</v>
      </c>
      <c r="AN41" s="116">
        <v>0.06</v>
      </c>
      <c r="AO41" s="177">
        <v>0</v>
      </c>
      <c r="AP41" s="466" t="str">
        <f t="shared" si="0"/>
        <v>NA</v>
      </c>
      <c r="AQ41" s="601" t="str">
        <f t="shared" si="1"/>
        <v>NA</v>
      </c>
      <c r="AR41" s="60" t="str">
        <f t="shared" si="2"/>
        <v>NA</v>
      </c>
      <c r="AS41" s="60" t="s">
        <v>1237</v>
      </c>
    </row>
    <row r="42" spans="1:45" ht="38.25">
      <c r="A42" s="31" t="s">
        <v>238</v>
      </c>
      <c r="B42" s="411" t="s">
        <v>234</v>
      </c>
      <c r="C42" s="1" t="s">
        <v>1352</v>
      </c>
      <c r="D42" s="44" t="s">
        <v>1354</v>
      </c>
      <c r="E42" s="1"/>
      <c r="F42" s="414"/>
      <c r="G42" s="27" t="s">
        <v>969</v>
      </c>
      <c r="H42" s="27"/>
      <c r="I42" s="27"/>
      <c r="J42" s="27"/>
      <c r="K42" s="1"/>
      <c r="L42" s="1"/>
      <c r="M42" s="1"/>
      <c r="N42" s="1"/>
      <c r="O42" s="1"/>
      <c r="P42" s="1"/>
      <c r="Q42" s="1"/>
      <c r="R42" s="1"/>
      <c r="S42" s="1"/>
      <c r="T42" s="1"/>
      <c r="U42" s="1"/>
      <c r="V42" s="1"/>
      <c r="W42" s="1"/>
      <c r="X42" s="1"/>
      <c r="Y42" s="1"/>
      <c r="Z42" s="1"/>
      <c r="AA42" s="1"/>
      <c r="AB42" s="1"/>
      <c r="AC42" s="1"/>
      <c r="AD42" s="43"/>
      <c r="AE42" s="43"/>
      <c r="AF42" s="43">
        <v>1875</v>
      </c>
      <c r="AG42" s="43">
        <f>AI42-AH42</f>
        <v>33.68500000000006</v>
      </c>
      <c r="AH42" s="43">
        <v>782.929</v>
      </c>
      <c r="AI42" s="43">
        <v>816.614</v>
      </c>
      <c r="AJ42" s="43">
        <v>9500</v>
      </c>
      <c r="AK42" s="43">
        <v>22.2</v>
      </c>
      <c r="AL42" s="43"/>
      <c r="AM42" s="177">
        <v>6797</v>
      </c>
      <c r="AN42" s="43">
        <v>1.38</v>
      </c>
      <c r="AO42" s="43">
        <v>0</v>
      </c>
      <c r="AP42" s="457" t="str">
        <f t="shared" si="0"/>
        <v>NA</v>
      </c>
      <c r="AQ42" s="177" t="str">
        <f t="shared" si="1"/>
        <v>NA</v>
      </c>
      <c r="AR42" s="43" t="str">
        <f t="shared" si="2"/>
        <v>NA</v>
      </c>
      <c r="AS42" s="43"/>
    </row>
    <row r="43" spans="1:45" ht="102">
      <c r="A43" s="31" t="s">
        <v>239</v>
      </c>
      <c r="B43" s="411" t="s">
        <v>235</v>
      </c>
      <c r="C43" s="1" t="s">
        <v>293</v>
      </c>
      <c r="D43" s="44" t="s">
        <v>264</v>
      </c>
      <c r="E43" s="1" t="s">
        <v>263</v>
      </c>
      <c r="F43" s="414"/>
      <c r="G43" s="27" t="s">
        <v>969</v>
      </c>
      <c r="H43" s="27"/>
      <c r="I43" s="27"/>
      <c r="J43" s="27"/>
      <c r="K43" s="1" t="s">
        <v>364</v>
      </c>
      <c r="L43" s="17" t="s">
        <v>365</v>
      </c>
      <c r="M43" s="3" t="s">
        <v>366</v>
      </c>
      <c r="N43" s="1" t="s">
        <v>1310</v>
      </c>
      <c r="O43" s="1"/>
      <c r="P43" s="1"/>
      <c r="Q43" s="1" t="s">
        <v>851</v>
      </c>
      <c r="R43" s="1" t="s">
        <v>852</v>
      </c>
      <c r="S43" s="1" t="s">
        <v>853</v>
      </c>
      <c r="T43" s="1"/>
      <c r="U43" s="1"/>
      <c r="V43" s="1"/>
      <c r="W43" s="1"/>
      <c r="X43" s="1"/>
      <c r="Y43" s="1"/>
      <c r="Z43" s="1"/>
      <c r="AA43" s="1"/>
      <c r="AB43" s="1"/>
      <c r="AC43" s="1"/>
      <c r="AD43" s="43" t="s">
        <v>982</v>
      </c>
      <c r="AE43" s="43">
        <v>1700</v>
      </c>
      <c r="AF43" s="43">
        <f>SUM(AD43:AE43)</f>
        <v>1700</v>
      </c>
      <c r="AG43" s="43">
        <v>36.608</v>
      </c>
      <c r="AH43" s="43">
        <f>107.812+775.224</f>
        <v>883.0360000000001</v>
      </c>
      <c r="AI43" s="43">
        <f>SUM(AG43:AH43)</f>
        <v>919.644</v>
      </c>
      <c r="AJ43" s="43"/>
      <c r="AK43" s="43"/>
      <c r="AL43" s="43"/>
      <c r="AM43" s="177">
        <v>3478.9</v>
      </c>
      <c r="AN43" s="43">
        <v>2.4</v>
      </c>
      <c r="AO43" s="43">
        <v>0</v>
      </c>
      <c r="AP43" s="457" t="str">
        <f t="shared" si="0"/>
        <v>NA</v>
      </c>
      <c r="AQ43" s="177" t="str">
        <f t="shared" si="1"/>
        <v>NA</v>
      </c>
      <c r="AR43" s="43" t="str">
        <f t="shared" si="2"/>
        <v>NA</v>
      </c>
      <c r="AS43" s="43"/>
    </row>
    <row r="44" spans="1:45" ht="153">
      <c r="A44" s="31" t="s">
        <v>240</v>
      </c>
      <c r="B44" s="411" t="s">
        <v>236</v>
      </c>
      <c r="C44" s="40" t="s">
        <v>988</v>
      </c>
      <c r="D44" s="40" t="s">
        <v>1105</v>
      </c>
      <c r="E44" s="41" t="s">
        <v>241</v>
      </c>
      <c r="F44" s="414" t="s">
        <v>969</v>
      </c>
      <c r="G44" s="28" t="s">
        <v>969</v>
      </c>
      <c r="H44" s="29"/>
      <c r="I44" s="27"/>
      <c r="J44" s="28"/>
      <c r="K44" s="1" t="s">
        <v>989</v>
      </c>
      <c r="L44" s="1" t="s">
        <v>990</v>
      </c>
      <c r="M44" s="120" t="s">
        <v>991</v>
      </c>
      <c r="N44" s="1" t="s">
        <v>992</v>
      </c>
      <c r="O44" s="1"/>
      <c r="P44" s="1"/>
      <c r="Q44" s="1" t="s">
        <v>993</v>
      </c>
      <c r="R44" s="1"/>
      <c r="S44" s="1"/>
      <c r="T44" s="1" t="s">
        <v>1215</v>
      </c>
      <c r="U44" s="1"/>
      <c r="V44" s="1"/>
      <c r="W44" s="1" t="s">
        <v>1216</v>
      </c>
      <c r="X44" s="1"/>
      <c r="Y44" s="1"/>
      <c r="Z44" s="1" t="s">
        <v>969</v>
      </c>
      <c r="AA44" s="1"/>
      <c r="AB44" s="1"/>
      <c r="AC44" s="44"/>
      <c r="AD44" s="177"/>
      <c r="AE44" s="177"/>
      <c r="AF44" s="177">
        <v>10200</v>
      </c>
      <c r="AG44" s="177"/>
      <c r="AH44" s="177"/>
      <c r="AI44" s="177">
        <v>8748</v>
      </c>
      <c r="AJ44" s="177"/>
      <c r="AK44" s="116">
        <v>6.6</v>
      </c>
      <c r="AL44" s="177"/>
      <c r="AM44" s="177">
        <v>1505</v>
      </c>
      <c r="AN44" s="116">
        <v>5.026</v>
      </c>
      <c r="AO44" s="177">
        <v>0</v>
      </c>
      <c r="AP44" s="457" t="str">
        <f t="shared" si="0"/>
        <v>NA</v>
      </c>
      <c r="AQ44" s="177" t="str">
        <f t="shared" si="1"/>
        <v>NA</v>
      </c>
      <c r="AR44" s="43" t="str">
        <f t="shared" si="2"/>
        <v>NA</v>
      </c>
      <c r="AS44" s="43" t="s">
        <v>242</v>
      </c>
    </row>
    <row r="45" spans="2:45" ht="12.75">
      <c r="B45" s="14"/>
      <c r="C45" s="7"/>
      <c r="D45" s="7"/>
      <c r="E45" s="7"/>
      <c r="F45" s="405"/>
      <c r="G45" s="405"/>
      <c r="H45" s="405"/>
      <c r="I45" s="405"/>
      <c r="J45" s="405"/>
      <c r="K45" s="7"/>
      <c r="L45" s="7"/>
      <c r="M45" s="7"/>
      <c r="N45" s="7"/>
      <c r="O45" s="7"/>
      <c r="P45" s="7"/>
      <c r="Q45" s="7"/>
      <c r="R45" s="7"/>
      <c r="S45" s="7"/>
      <c r="T45" s="7"/>
      <c r="U45" s="7"/>
      <c r="V45" s="7"/>
      <c r="W45" s="7"/>
      <c r="X45" s="7"/>
      <c r="Y45" s="7"/>
      <c r="Z45" s="7"/>
      <c r="AA45" s="7"/>
      <c r="AB45" s="7"/>
      <c r="AC45" s="7"/>
      <c r="AD45" s="406"/>
      <c r="AE45" s="406"/>
      <c r="AF45" s="406"/>
      <c r="AG45" s="406"/>
      <c r="AH45" s="406"/>
      <c r="AI45" s="406"/>
      <c r="AJ45" s="406"/>
      <c r="AK45" s="406"/>
      <c r="AL45" s="406"/>
      <c r="AM45" s="602"/>
      <c r="AN45" s="406"/>
      <c r="AO45" s="406"/>
      <c r="AP45" s="467"/>
      <c r="AQ45" s="602"/>
      <c r="AR45" s="406"/>
      <c r="AS45" s="406"/>
    </row>
    <row r="46" spans="2:45" ht="12.75">
      <c r="B46" s="14"/>
      <c r="C46" s="7"/>
      <c r="D46" s="7"/>
      <c r="E46" s="7"/>
      <c r="F46" s="405"/>
      <c r="G46" s="405"/>
      <c r="H46" s="405"/>
      <c r="I46" s="405"/>
      <c r="J46" s="405"/>
      <c r="K46" s="7"/>
      <c r="L46" s="7"/>
      <c r="M46" s="7"/>
      <c r="N46" s="7"/>
      <c r="O46" s="7"/>
      <c r="P46" s="7"/>
      <c r="Q46" s="7"/>
      <c r="R46" s="7"/>
      <c r="S46" s="7"/>
      <c r="T46" s="7"/>
      <c r="U46" s="7"/>
      <c r="V46" s="7"/>
      <c r="W46" s="7"/>
      <c r="X46" s="7"/>
      <c r="Y46" s="7"/>
      <c r="Z46" s="7"/>
      <c r="AA46" s="7"/>
      <c r="AB46" s="7"/>
      <c r="AC46" s="7"/>
      <c r="AD46" s="406"/>
      <c r="AE46" s="406"/>
      <c r="AF46" s="406"/>
      <c r="AG46" s="406"/>
      <c r="AH46" s="406"/>
      <c r="AI46" s="406"/>
      <c r="AJ46" s="406"/>
      <c r="AK46" s="406"/>
      <c r="AL46" s="406"/>
      <c r="AM46" s="602"/>
      <c r="AN46" s="406"/>
      <c r="AO46" s="406"/>
      <c r="AP46" s="467"/>
      <c r="AQ46" s="602"/>
      <c r="AR46" s="406"/>
      <c r="AS46" s="406"/>
    </row>
    <row r="47" spans="2:45" ht="12.75">
      <c r="B47" s="14"/>
      <c r="C47" s="7"/>
      <c r="D47" s="7"/>
      <c r="E47" s="7"/>
      <c r="F47" s="405"/>
      <c r="G47" s="405"/>
      <c r="H47" s="405"/>
      <c r="I47" s="405"/>
      <c r="J47" s="405"/>
      <c r="K47" s="7"/>
      <c r="L47" s="7"/>
      <c r="M47" s="7"/>
      <c r="N47" s="7"/>
      <c r="O47" s="7"/>
      <c r="P47" s="7"/>
      <c r="Q47" s="7"/>
      <c r="R47" s="7"/>
      <c r="S47" s="7"/>
      <c r="T47" s="7"/>
      <c r="U47" s="7"/>
      <c r="V47" s="7"/>
      <c r="W47" s="7"/>
      <c r="X47" s="7"/>
      <c r="Y47" s="7"/>
      <c r="Z47" s="7"/>
      <c r="AA47" s="7"/>
      <c r="AB47" s="7"/>
      <c r="AC47" s="7"/>
      <c r="AD47" s="406"/>
      <c r="AE47" s="406"/>
      <c r="AF47" s="406"/>
      <c r="AG47" s="406"/>
      <c r="AH47" s="406"/>
      <c r="AI47" s="406"/>
      <c r="AJ47" s="406"/>
      <c r="AK47" s="406"/>
      <c r="AL47" s="406"/>
      <c r="AM47" s="602"/>
      <c r="AN47" s="406"/>
      <c r="AO47" s="406"/>
      <c r="AP47" s="467"/>
      <c r="AQ47" s="602"/>
      <c r="AR47" s="406"/>
      <c r="AS47" s="406"/>
    </row>
    <row r="48" spans="2:10" ht="12.75">
      <c r="B48" s="14"/>
      <c r="F48" s="7"/>
      <c r="G48" s="7"/>
      <c r="H48" s="7"/>
      <c r="I48" s="7"/>
      <c r="J48" s="7"/>
    </row>
    <row r="49" spans="6:10" ht="12.75">
      <c r="F49" s="7"/>
      <c r="G49" s="7"/>
      <c r="H49" s="7"/>
      <c r="I49" s="7"/>
      <c r="J49" s="7"/>
    </row>
    <row r="50" spans="2:10" ht="12.75">
      <c r="B50" s="181"/>
      <c r="F50" s="7"/>
      <c r="G50" s="14"/>
      <c r="H50" s="15"/>
      <c r="I50" s="7"/>
      <c r="J50" s="14"/>
    </row>
    <row r="51" spans="6:10" ht="12.75">
      <c r="F51" s="7"/>
      <c r="G51" s="14"/>
      <c r="H51" s="15"/>
      <c r="I51" s="7"/>
      <c r="J51" s="14"/>
    </row>
    <row r="52" spans="6:10" ht="12.75">
      <c r="F52" s="7"/>
      <c r="G52" s="14"/>
      <c r="H52" s="15"/>
      <c r="I52" s="7"/>
      <c r="J52" s="14"/>
    </row>
    <row r="53" spans="6:10" ht="12.75">
      <c r="F53" s="7"/>
      <c r="G53" s="14"/>
      <c r="H53" s="15"/>
      <c r="I53" s="7"/>
      <c r="J53" s="14"/>
    </row>
    <row r="54" spans="6:10" ht="12.75">
      <c r="F54" s="7"/>
      <c r="G54" s="14"/>
      <c r="H54" s="15"/>
      <c r="I54" s="7"/>
      <c r="J54" s="14"/>
    </row>
    <row r="55" spans="6:10" ht="12.75">
      <c r="F55" s="7"/>
      <c r="G55" s="14"/>
      <c r="H55" s="15"/>
      <c r="I55" s="7"/>
      <c r="J55" s="14"/>
    </row>
    <row r="56" spans="6:10" ht="12.75">
      <c r="F56" s="7"/>
      <c r="G56" s="14"/>
      <c r="H56" s="15"/>
      <c r="I56" s="7"/>
      <c r="J56" s="14"/>
    </row>
    <row r="57" spans="6:10" ht="12.75">
      <c r="F57" s="7"/>
      <c r="G57" s="7"/>
      <c r="H57" s="7"/>
      <c r="I57" s="7"/>
      <c r="J57" s="7"/>
    </row>
    <row r="58" spans="6:10" ht="12.75">
      <c r="F58" s="7"/>
      <c r="G58" s="14"/>
      <c r="H58" s="15"/>
      <c r="I58" s="7"/>
      <c r="J58" s="14"/>
    </row>
    <row r="59" spans="6:10" ht="12.75">
      <c r="F59" s="7"/>
      <c r="G59" s="14"/>
      <c r="H59" s="15"/>
      <c r="I59" s="7"/>
      <c r="J59" s="14"/>
    </row>
    <row r="60" spans="6:10" ht="12.75">
      <c r="F60" s="7"/>
      <c r="G60" s="14"/>
      <c r="H60" s="15"/>
      <c r="I60" s="7"/>
      <c r="J60" s="14"/>
    </row>
    <row r="61" spans="6:10" ht="12.75">
      <c r="F61" s="7"/>
      <c r="G61" s="14"/>
      <c r="H61" s="15"/>
      <c r="I61" s="7"/>
      <c r="J61" s="14"/>
    </row>
    <row r="62" spans="6:10" ht="12.75">
      <c r="F62" s="7"/>
      <c r="G62" s="14"/>
      <c r="H62" s="15"/>
      <c r="I62" s="7"/>
      <c r="J62" s="14"/>
    </row>
    <row r="63" spans="6:10" ht="12.75">
      <c r="F63" s="7"/>
      <c r="G63" s="14"/>
      <c r="H63" s="15"/>
      <c r="I63" s="7"/>
      <c r="J63" s="14"/>
    </row>
    <row r="64" spans="6:10" ht="12.75">
      <c r="F64" s="7"/>
      <c r="G64" s="14"/>
      <c r="H64" s="15"/>
      <c r="I64" s="7"/>
      <c r="J64" s="14"/>
    </row>
    <row r="65" spans="6:10" ht="12.75">
      <c r="F65" s="7"/>
      <c r="G65" s="14"/>
      <c r="H65" s="15"/>
      <c r="I65" s="7"/>
      <c r="J65" s="14"/>
    </row>
    <row r="66" spans="6:10" ht="12.75">
      <c r="F66" s="7"/>
      <c r="G66" s="14"/>
      <c r="H66" s="15"/>
      <c r="I66" s="7"/>
      <c r="J66" s="14"/>
    </row>
    <row r="67" spans="6:10" ht="12.75">
      <c r="F67" s="7"/>
      <c r="G67" s="14"/>
      <c r="H67" s="15"/>
      <c r="I67" s="7"/>
      <c r="J67" s="14"/>
    </row>
    <row r="68" spans="6:10" ht="12.75">
      <c r="F68" s="7"/>
      <c r="G68" s="14"/>
      <c r="H68" s="15"/>
      <c r="I68" s="7"/>
      <c r="J68" s="14"/>
    </row>
    <row r="111" ht="12.75"/>
    <row r="112" ht="12.75"/>
    <row r="113" ht="12.75"/>
    <row r="114" ht="12.75"/>
  </sheetData>
  <sheetProtection password="DE47" sheet="1" objects="1" scenarios="1"/>
  <hyperlinks>
    <hyperlink ref="S20" r:id="rId1" display="mkg3@pge.com"/>
    <hyperlink ref="V20" r:id="rId2" display="dohrmann@adm-energy.com"/>
    <hyperlink ref="M11" r:id="rId3" display="Lee.Trotman@sce.com"/>
    <hyperlink ref="M15" r:id="rId4" display="fran.curl@sce.com"/>
    <hyperlink ref="M19" r:id="rId5" display="steve.culbertson@sce.com"/>
    <hyperlink ref="P8" r:id="rId6" display="mkg3@pge.com"/>
    <hyperlink ref="M43" r:id="rId7" display="michelle.thomas@sce.com"/>
  </hyperlinks>
  <printOptions/>
  <pageMargins left="0.5" right="0.5" top="0.54" bottom="1" header="0.5" footer="0.5"/>
  <pageSetup fitToHeight="50" fitToWidth="2" horizontalDpi="600" verticalDpi="600" orientation="landscape" pageOrder="overThenDown" scale="60" r:id="rId10"/>
  <headerFooter alignWithMargins="0">
    <oddHeader>&amp;CCALMAC Summary Study</oddHeader>
    <oddFooter>&amp;LGlobal Energy Partners, LLC&amp;C&amp;D&amp;RPage &amp;P of &amp;N</oddFooter>
  </headerFooter>
  <legacyDrawing r:id="rId9"/>
</worksheet>
</file>

<file path=xl/worksheets/sheet9.xml><?xml version="1.0" encoding="utf-8"?>
<worksheet xmlns="http://schemas.openxmlformats.org/spreadsheetml/2006/main" xmlns:r="http://schemas.openxmlformats.org/officeDocument/2006/relationships">
  <sheetPr codeName="Sheet3">
    <pageSetUpPr fitToPage="1"/>
  </sheetPr>
  <dimension ref="A1:AU34"/>
  <sheetViews>
    <sheetView showGridLines="0" tabSelected="1" zoomScale="75" zoomScaleNormal="75" workbookViewId="0" topLeftCell="A1">
      <pane xSplit="4" ySplit="5" topLeftCell="E6" activePane="bottomRight" state="frozen"/>
      <selection pane="topLeft" activeCell="D35" sqref="D35"/>
      <selection pane="topRight" activeCell="D35" sqref="D35"/>
      <selection pane="bottomLeft" activeCell="D35" sqref="D35"/>
      <selection pane="bottomRight" activeCell="B4" sqref="B4"/>
    </sheetView>
  </sheetViews>
  <sheetFormatPr defaultColWidth="9.140625" defaultRowHeight="12.75" outlineLevelRow="1" outlineLevelCol="1"/>
  <cols>
    <col min="1" max="1" width="9.140625" style="31" customWidth="1"/>
    <col min="2" max="2" width="14.28125" style="31" customWidth="1"/>
    <col min="3" max="3" width="12.421875" style="31" customWidth="1"/>
    <col min="4" max="4" width="36.8515625" style="31" customWidth="1"/>
    <col min="5" max="9" width="3.7109375" style="31" customWidth="1"/>
    <col min="10" max="10" width="8.8515625" style="31" hidden="1" customWidth="1" outlineLevel="1"/>
    <col min="11" max="12" width="7.7109375" style="31" hidden="1" customWidth="1" outlineLevel="1"/>
    <col min="13" max="13" width="9.57421875" style="31" hidden="1" customWidth="1" outlineLevel="1"/>
    <col min="14" max="15" width="7.7109375" style="31" hidden="1" customWidth="1" outlineLevel="1"/>
    <col min="16" max="16" width="8.7109375" style="31" hidden="1" customWidth="1" outlineLevel="1"/>
    <col min="17" max="21" width="7.7109375" style="31" hidden="1" customWidth="1" outlineLevel="1"/>
    <col min="22" max="22" width="7.57421875" style="31" hidden="1" customWidth="1" outlineLevel="1"/>
    <col min="23" max="23" width="11.00390625" style="31" hidden="1" customWidth="1" outlineLevel="1"/>
    <col min="24" max="24" width="9.421875" style="31" hidden="1" customWidth="1" outlineLevel="1"/>
    <col min="25" max="25" width="7.7109375" style="31" hidden="1" customWidth="1" outlineLevel="1"/>
    <col min="26" max="27" width="7.28125" style="31" hidden="1" customWidth="1" outlineLevel="1"/>
    <col min="28" max="28" width="6.421875" style="31" hidden="1" customWidth="1" outlineLevel="1"/>
    <col min="29" max="29" width="10.7109375" style="31" customWidth="1" collapsed="1"/>
    <col min="30" max="34" width="10.7109375" style="31" customWidth="1"/>
    <col min="35" max="37" width="9.140625" style="31" customWidth="1"/>
    <col min="38" max="38" width="11.28125" style="31" bestFit="1" customWidth="1"/>
    <col min="39" max="40" width="9.140625" style="31" customWidth="1"/>
    <col min="41" max="41" width="14.57421875" style="31" hidden="1" customWidth="1" outlineLevel="1"/>
    <col min="42" max="43" width="9.140625" style="31" hidden="1" customWidth="1" outlineLevel="1"/>
    <col min="44" max="44" width="13.8515625" style="31" bestFit="1" customWidth="1" collapsed="1"/>
    <col min="45" max="45" width="13.8515625" style="355" customWidth="1"/>
    <col min="46" max="46" width="12.57421875" style="31" bestFit="1" customWidth="1"/>
    <col min="47" max="47" width="35.57421875" style="6" customWidth="1"/>
    <col min="48" max="16384" width="9.140625" style="31" customWidth="1"/>
  </cols>
  <sheetData>
    <row r="1" spans="2:33" ht="15.75">
      <c r="B1" s="80" t="s">
        <v>605</v>
      </c>
      <c r="AC1" s="81"/>
      <c r="AD1" s="81"/>
      <c r="AE1" s="81"/>
      <c r="AF1" s="81"/>
      <c r="AG1" s="81"/>
    </row>
    <row r="2" ht="16.5" thickBot="1">
      <c r="B2" s="80" t="s">
        <v>670</v>
      </c>
    </row>
    <row r="3" spans="5:28" ht="13.5" thickBot="1">
      <c r="E3" s="83"/>
      <c r="F3" s="83"/>
      <c r="G3" s="83"/>
      <c r="H3" s="83"/>
      <c r="I3" s="83"/>
      <c r="J3" s="84" t="s">
        <v>36</v>
      </c>
      <c r="K3" s="85"/>
      <c r="L3" s="85"/>
      <c r="M3" s="85"/>
      <c r="N3" s="85"/>
      <c r="O3" s="85"/>
      <c r="P3" s="85"/>
      <c r="Q3" s="85"/>
      <c r="R3" s="85"/>
      <c r="S3" s="85"/>
      <c r="T3" s="85"/>
      <c r="U3" s="85"/>
      <c r="V3" s="85"/>
      <c r="W3" s="85"/>
      <c r="X3" s="86"/>
      <c r="Y3" s="87"/>
      <c r="Z3" s="88"/>
      <c r="AA3" s="88"/>
      <c r="AB3" s="89"/>
    </row>
    <row r="4" spans="5:46" ht="40.5" customHeight="1" thickBot="1">
      <c r="E4" s="61" t="s">
        <v>33</v>
      </c>
      <c r="F4" s="62"/>
      <c r="G4" s="62"/>
      <c r="H4" s="62"/>
      <c r="I4" s="63"/>
      <c r="J4" s="61" t="s">
        <v>679</v>
      </c>
      <c r="K4" s="85"/>
      <c r="L4" s="86"/>
      <c r="M4" s="85" t="s">
        <v>677</v>
      </c>
      <c r="N4" s="85"/>
      <c r="O4" s="86"/>
      <c r="P4" s="90" t="s">
        <v>680</v>
      </c>
      <c r="Q4" s="90"/>
      <c r="R4" s="91"/>
      <c r="S4" s="85" t="s">
        <v>675</v>
      </c>
      <c r="T4" s="85"/>
      <c r="U4" s="86"/>
      <c r="V4" s="85" t="s">
        <v>1197</v>
      </c>
      <c r="W4" s="86"/>
      <c r="X4" s="92"/>
      <c r="Y4" s="93" t="s">
        <v>34</v>
      </c>
      <c r="Z4" s="94"/>
      <c r="AA4" s="94"/>
      <c r="AB4" s="95"/>
      <c r="AC4" s="36" t="s">
        <v>956</v>
      </c>
      <c r="AD4" s="36"/>
      <c r="AE4" s="36"/>
      <c r="AF4" s="36" t="s">
        <v>1284</v>
      </c>
      <c r="AG4" s="36"/>
      <c r="AH4" s="36"/>
      <c r="AI4" s="35" t="s">
        <v>1081</v>
      </c>
      <c r="AJ4" s="35"/>
      <c r="AK4" s="35"/>
      <c r="AL4" s="35" t="s">
        <v>346</v>
      </c>
      <c r="AM4" s="35"/>
      <c r="AN4" s="35"/>
      <c r="AO4" s="657" t="s">
        <v>347</v>
      </c>
      <c r="AP4" s="35" t="s">
        <v>1355</v>
      </c>
      <c r="AQ4" s="35"/>
      <c r="AR4" s="35" t="s">
        <v>649</v>
      </c>
      <c r="AS4" s="360"/>
      <c r="AT4" s="35"/>
    </row>
    <row r="5" spans="2:47" ht="124.5" thickBot="1">
      <c r="B5" s="96" t="s">
        <v>835</v>
      </c>
      <c r="C5" s="96" t="s">
        <v>834</v>
      </c>
      <c r="D5" s="96" t="s">
        <v>836</v>
      </c>
      <c r="E5" s="11" t="s">
        <v>28</v>
      </c>
      <c r="F5" s="12" t="s">
        <v>29</v>
      </c>
      <c r="G5" s="12" t="s">
        <v>30</v>
      </c>
      <c r="H5" s="12" t="s">
        <v>31</v>
      </c>
      <c r="I5" s="13" t="s">
        <v>668</v>
      </c>
      <c r="J5" s="97" t="s">
        <v>37</v>
      </c>
      <c r="K5" s="98" t="s">
        <v>38</v>
      </c>
      <c r="L5" s="99" t="s">
        <v>39</v>
      </c>
      <c r="M5" s="97" t="s">
        <v>678</v>
      </c>
      <c r="N5" s="98" t="s">
        <v>38</v>
      </c>
      <c r="O5" s="99" t="s">
        <v>39</v>
      </c>
      <c r="P5" s="97" t="s">
        <v>37</v>
      </c>
      <c r="Q5" s="98" t="s">
        <v>38</v>
      </c>
      <c r="R5" s="99" t="s">
        <v>39</v>
      </c>
      <c r="S5" s="97" t="s">
        <v>678</v>
      </c>
      <c r="T5" s="98" t="s">
        <v>38</v>
      </c>
      <c r="U5" s="99" t="s">
        <v>39</v>
      </c>
      <c r="V5" s="100" t="s">
        <v>40</v>
      </c>
      <c r="W5" s="99" t="s">
        <v>41</v>
      </c>
      <c r="X5" s="101" t="s">
        <v>35</v>
      </c>
      <c r="Y5" s="97" t="s">
        <v>1306</v>
      </c>
      <c r="Z5" s="98" t="s">
        <v>681</v>
      </c>
      <c r="AA5" s="98" t="s">
        <v>32</v>
      </c>
      <c r="AB5" s="102" t="s">
        <v>682</v>
      </c>
      <c r="AC5" s="109" t="s">
        <v>777</v>
      </c>
      <c r="AD5" s="111" t="s">
        <v>778</v>
      </c>
      <c r="AE5" s="110" t="s">
        <v>779</v>
      </c>
      <c r="AF5" s="109" t="s">
        <v>777</v>
      </c>
      <c r="AG5" s="111" t="s">
        <v>778</v>
      </c>
      <c r="AH5" s="110" t="s">
        <v>779</v>
      </c>
      <c r="AI5" s="134" t="s">
        <v>1266</v>
      </c>
      <c r="AJ5" s="135" t="s">
        <v>1356</v>
      </c>
      <c r="AK5" s="139" t="s">
        <v>1357</v>
      </c>
      <c r="AL5" s="109" t="s">
        <v>1266</v>
      </c>
      <c r="AM5" s="111" t="s">
        <v>1356</v>
      </c>
      <c r="AN5" s="110" t="s">
        <v>1357</v>
      </c>
      <c r="AO5" s="658"/>
      <c r="AP5" s="134" t="s">
        <v>1266</v>
      </c>
      <c r="AQ5" s="140" t="s">
        <v>1357</v>
      </c>
      <c r="AR5" s="109" t="s">
        <v>1358</v>
      </c>
      <c r="AS5" s="600" t="s">
        <v>650</v>
      </c>
      <c r="AT5" s="140" t="s">
        <v>517</v>
      </c>
      <c r="AU5" s="51" t="s">
        <v>676</v>
      </c>
    </row>
    <row r="6" spans="1:47" ht="89.25">
      <c r="A6" s="147" t="s">
        <v>87</v>
      </c>
      <c r="B6" s="383" t="s">
        <v>321</v>
      </c>
      <c r="C6" s="41" t="s">
        <v>23</v>
      </c>
      <c r="D6" s="41" t="s">
        <v>1323</v>
      </c>
      <c r="E6" s="27"/>
      <c r="F6" s="28"/>
      <c r="G6" s="47" t="s">
        <v>969</v>
      </c>
      <c r="H6" s="27"/>
      <c r="I6" s="28"/>
      <c r="J6" s="1" t="s">
        <v>410</v>
      </c>
      <c r="K6" s="1" t="s">
        <v>411</v>
      </c>
      <c r="L6" s="1" t="s">
        <v>412</v>
      </c>
      <c r="M6" s="1" t="s">
        <v>1291</v>
      </c>
      <c r="N6" s="1"/>
      <c r="O6" s="1"/>
      <c r="P6" s="1" t="s">
        <v>1297</v>
      </c>
      <c r="Q6" s="1" t="s">
        <v>413</v>
      </c>
      <c r="R6" s="1"/>
      <c r="S6" s="1" t="s">
        <v>414</v>
      </c>
      <c r="T6" s="1"/>
      <c r="U6" s="1"/>
      <c r="V6" s="1" t="s">
        <v>1299</v>
      </c>
      <c r="W6" s="1" t="s">
        <v>1300</v>
      </c>
      <c r="X6" s="1"/>
      <c r="Y6" s="1"/>
      <c r="Z6" s="1"/>
      <c r="AA6" s="1"/>
      <c r="AB6" s="1"/>
      <c r="AC6" s="256">
        <v>2000</v>
      </c>
      <c r="AD6" s="256">
        <v>48000</v>
      </c>
      <c r="AE6" s="177">
        <v>50000</v>
      </c>
      <c r="AF6" s="256" t="s">
        <v>982</v>
      </c>
      <c r="AG6" s="256">
        <v>2100</v>
      </c>
      <c r="AH6" s="177">
        <v>2100</v>
      </c>
      <c r="AI6" s="4" t="s">
        <v>982</v>
      </c>
      <c r="AJ6" s="177">
        <v>50</v>
      </c>
      <c r="AK6" s="24" t="s">
        <v>1324</v>
      </c>
      <c r="AL6" s="114">
        <v>18000</v>
      </c>
      <c r="AM6" s="1">
        <v>5.3</v>
      </c>
      <c r="AN6" s="24" t="s">
        <v>1324</v>
      </c>
      <c r="AO6" s="1"/>
      <c r="AP6" s="1" t="s">
        <v>597</v>
      </c>
      <c r="AQ6" s="1">
        <v>0</v>
      </c>
      <c r="AR6" s="262">
        <f aca="true" t="shared" si="0" ref="AR6:AR15">IF(OR(AL6="NA",AL6=0),"NA",$AH6/AL6)</f>
        <v>0.11666666666666667</v>
      </c>
      <c r="AS6" s="114">
        <f aca="true" t="shared" si="1" ref="AS6:AS15">IF(OR(AM6="NA",AM6=0),"NA",$AH6/AM6)</f>
        <v>396.22641509433964</v>
      </c>
      <c r="AT6" s="24" t="s">
        <v>1324</v>
      </c>
      <c r="AU6" s="1" t="s">
        <v>1327</v>
      </c>
    </row>
    <row r="7" spans="1:47" ht="89.25">
      <c r="A7" s="147" t="s">
        <v>88</v>
      </c>
      <c r="B7" s="383" t="s">
        <v>673</v>
      </c>
      <c r="C7" s="41" t="s">
        <v>482</v>
      </c>
      <c r="D7" s="41" t="s">
        <v>1328</v>
      </c>
      <c r="E7" s="27"/>
      <c r="F7" s="28"/>
      <c r="G7" s="29"/>
      <c r="H7" s="27" t="s">
        <v>969</v>
      </c>
      <c r="I7" s="28"/>
      <c r="J7" s="1" t="s">
        <v>410</v>
      </c>
      <c r="K7" s="1" t="s">
        <v>411</v>
      </c>
      <c r="L7" s="1" t="s">
        <v>412</v>
      </c>
      <c r="M7" s="1" t="s">
        <v>1291</v>
      </c>
      <c r="N7" s="1"/>
      <c r="O7" s="1"/>
      <c r="P7" s="1" t="s">
        <v>1297</v>
      </c>
      <c r="Q7" s="1" t="s">
        <v>413</v>
      </c>
      <c r="R7" s="1" t="s">
        <v>408</v>
      </c>
      <c r="S7" s="1" t="s">
        <v>414</v>
      </c>
      <c r="T7" s="1"/>
      <c r="U7" s="1"/>
      <c r="V7" s="1" t="s">
        <v>1299</v>
      </c>
      <c r="W7" s="1" t="s">
        <v>1300</v>
      </c>
      <c r="X7" s="1"/>
      <c r="Y7" s="1" t="s">
        <v>969</v>
      </c>
      <c r="Z7" s="1"/>
      <c r="AA7" s="1"/>
      <c r="AB7" s="1"/>
      <c r="AC7" s="256" t="s">
        <v>982</v>
      </c>
      <c r="AD7" s="256" t="s">
        <v>982</v>
      </c>
      <c r="AE7" s="177">
        <v>10000</v>
      </c>
      <c r="AF7" s="256" t="s">
        <v>982</v>
      </c>
      <c r="AG7" s="256">
        <v>6770</v>
      </c>
      <c r="AH7" s="177">
        <v>6769.908</v>
      </c>
      <c r="AI7" s="4" t="s">
        <v>982</v>
      </c>
      <c r="AJ7" s="177">
        <v>10</v>
      </c>
      <c r="AK7" s="24" t="s">
        <v>1324</v>
      </c>
      <c r="AL7" s="263">
        <v>45220</v>
      </c>
      <c r="AM7" s="522">
        <v>5.4</v>
      </c>
      <c r="AN7" s="24" t="s">
        <v>1324</v>
      </c>
      <c r="AO7" s="1"/>
      <c r="AP7" s="1" t="s">
        <v>598</v>
      </c>
      <c r="AQ7" s="1">
        <v>0</v>
      </c>
      <c r="AR7" s="262">
        <f t="shared" si="0"/>
        <v>0.14971048208757187</v>
      </c>
      <c r="AS7" s="114">
        <f t="shared" si="1"/>
        <v>1253.6866666666667</v>
      </c>
      <c r="AT7" s="24" t="s">
        <v>1324</v>
      </c>
      <c r="AU7" s="1" t="s">
        <v>471</v>
      </c>
    </row>
    <row r="8" spans="1:47" ht="142.5" customHeight="1">
      <c r="A8" s="147" t="s">
        <v>89</v>
      </c>
      <c r="B8" s="383" t="s">
        <v>356</v>
      </c>
      <c r="C8" s="41" t="s">
        <v>23</v>
      </c>
      <c r="D8" s="41" t="s">
        <v>357</v>
      </c>
      <c r="E8" s="27"/>
      <c r="F8" s="28" t="s">
        <v>969</v>
      </c>
      <c r="G8" s="29"/>
      <c r="H8" s="27" t="s">
        <v>969</v>
      </c>
      <c r="I8" s="28"/>
      <c r="J8" s="1" t="s">
        <v>1294</v>
      </c>
      <c r="K8" s="1" t="s">
        <v>1295</v>
      </c>
      <c r="L8" s="1" t="s">
        <v>1296</v>
      </c>
      <c r="M8" s="1" t="s">
        <v>1187</v>
      </c>
      <c r="N8" s="1" t="s">
        <v>1189</v>
      </c>
      <c r="O8" s="1" t="s">
        <v>1188</v>
      </c>
      <c r="P8" s="1" t="s">
        <v>1297</v>
      </c>
      <c r="Q8" s="1"/>
      <c r="R8" s="1"/>
      <c r="S8" s="1" t="s">
        <v>1298</v>
      </c>
      <c r="T8" s="1"/>
      <c r="U8" s="1"/>
      <c r="V8" s="1" t="s">
        <v>1299</v>
      </c>
      <c r="W8" s="1" t="s">
        <v>1300</v>
      </c>
      <c r="X8" s="1"/>
      <c r="Y8" s="1" t="s">
        <v>969</v>
      </c>
      <c r="Z8" s="1"/>
      <c r="AA8" s="1"/>
      <c r="AB8" s="1"/>
      <c r="AC8" s="256" t="s">
        <v>982</v>
      </c>
      <c r="AD8" s="256" t="s">
        <v>982</v>
      </c>
      <c r="AE8" s="177">
        <v>23900</v>
      </c>
      <c r="AF8" s="256" t="s">
        <v>982</v>
      </c>
      <c r="AG8" s="256">
        <v>2788</v>
      </c>
      <c r="AH8" s="177">
        <v>2787.858</v>
      </c>
      <c r="AI8" s="4" t="s">
        <v>982</v>
      </c>
      <c r="AJ8" s="177">
        <v>62</v>
      </c>
      <c r="AK8" s="24" t="s">
        <v>1324</v>
      </c>
      <c r="AL8" s="54" t="s">
        <v>982</v>
      </c>
      <c r="AM8" s="1">
        <v>4.1</v>
      </c>
      <c r="AN8" s="24" t="s">
        <v>1324</v>
      </c>
      <c r="AO8" s="1" t="s">
        <v>55</v>
      </c>
      <c r="AP8" s="1">
        <v>0</v>
      </c>
      <c r="AQ8" s="1">
        <v>0</v>
      </c>
      <c r="AR8" s="262" t="str">
        <f t="shared" si="0"/>
        <v>NA</v>
      </c>
      <c r="AS8" s="114">
        <f t="shared" si="1"/>
        <v>679.9653658536587</v>
      </c>
      <c r="AT8" s="24" t="s">
        <v>1324</v>
      </c>
      <c r="AU8" s="1" t="s">
        <v>322</v>
      </c>
    </row>
    <row r="9" spans="1:47" ht="127.5">
      <c r="A9" s="147" t="s">
        <v>90</v>
      </c>
      <c r="B9" s="383" t="s">
        <v>25</v>
      </c>
      <c r="C9" s="41" t="s">
        <v>23</v>
      </c>
      <c r="D9" s="41" t="s">
        <v>1190</v>
      </c>
      <c r="E9" s="27"/>
      <c r="F9" s="28" t="s">
        <v>969</v>
      </c>
      <c r="G9" s="29"/>
      <c r="H9" s="27" t="s">
        <v>969</v>
      </c>
      <c r="I9" s="28"/>
      <c r="J9" s="1" t="s">
        <v>404</v>
      </c>
      <c r="K9" s="1" t="s">
        <v>405</v>
      </c>
      <c r="L9" s="1" t="s">
        <v>406</v>
      </c>
      <c r="M9" s="1" t="s">
        <v>407</v>
      </c>
      <c r="N9" s="1"/>
      <c r="O9" s="1"/>
      <c r="P9" s="1" t="s">
        <v>1297</v>
      </c>
      <c r="Q9" s="1"/>
      <c r="R9" s="1" t="s">
        <v>408</v>
      </c>
      <c r="S9" s="1" t="s">
        <v>409</v>
      </c>
      <c r="T9" s="1"/>
      <c r="U9" s="1"/>
      <c r="V9" s="1" t="s">
        <v>1299</v>
      </c>
      <c r="W9" s="1" t="s">
        <v>1292</v>
      </c>
      <c r="X9" s="1"/>
      <c r="Y9" s="1" t="s">
        <v>969</v>
      </c>
      <c r="Z9" s="1"/>
      <c r="AA9" s="1"/>
      <c r="AB9" s="1"/>
      <c r="AC9" s="256" t="s">
        <v>982</v>
      </c>
      <c r="AD9" s="256" t="s">
        <v>982</v>
      </c>
      <c r="AE9" s="177">
        <f>48000+6000</f>
        <v>54000</v>
      </c>
      <c r="AF9" s="256" t="s">
        <v>982</v>
      </c>
      <c r="AG9" s="256">
        <v>2119</v>
      </c>
      <c r="AH9" s="177">
        <v>2119</v>
      </c>
      <c r="AI9" s="4" t="s">
        <v>982</v>
      </c>
      <c r="AJ9" s="177">
        <v>152</v>
      </c>
      <c r="AK9" s="24" t="s">
        <v>1324</v>
      </c>
      <c r="AL9" s="54" t="s">
        <v>982</v>
      </c>
      <c r="AM9" s="1">
        <v>9.4</v>
      </c>
      <c r="AN9" s="24" t="s">
        <v>1324</v>
      </c>
      <c r="AO9" s="1" t="s">
        <v>57</v>
      </c>
      <c r="AP9" s="1" t="s">
        <v>645</v>
      </c>
      <c r="AQ9" s="1">
        <v>0</v>
      </c>
      <c r="AR9" s="262" t="str">
        <f t="shared" si="0"/>
        <v>NA</v>
      </c>
      <c r="AS9" s="114">
        <f t="shared" si="1"/>
        <v>225.4255319148936</v>
      </c>
      <c r="AT9" s="24" t="s">
        <v>1324</v>
      </c>
      <c r="AU9" s="1" t="s">
        <v>1330</v>
      </c>
    </row>
    <row r="10" spans="1:47" ht="102">
      <c r="A10" s="147" t="s">
        <v>393</v>
      </c>
      <c r="B10" s="383" t="s">
        <v>395</v>
      </c>
      <c r="C10" s="41" t="s">
        <v>26</v>
      </c>
      <c r="D10" s="41" t="s">
        <v>1191</v>
      </c>
      <c r="E10" s="27"/>
      <c r="F10" s="28" t="s">
        <v>969</v>
      </c>
      <c r="G10" s="29"/>
      <c r="H10" s="27"/>
      <c r="I10" s="28"/>
      <c r="J10" s="1" t="s">
        <v>415</v>
      </c>
      <c r="K10" s="1" t="s">
        <v>416</v>
      </c>
      <c r="L10" s="1" t="s">
        <v>418</v>
      </c>
      <c r="M10" s="1" t="s">
        <v>419</v>
      </c>
      <c r="N10" s="1"/>
      <c r="O10" s="1"/>
      <c r="P10" s="1" t="s">
        <v>1297</v>
      </c>
      <c r="Q10" s="1" t="s">
        <v>413</v>
      </c>
      <c r="R10" s="1" t="s">
        <v>408</v>
      </c>
      <c r="S10" s="1" t="s">
        <v>420</v>
      </c>
      <c r="T10" s="1"/>
      <c r="U10" s="1"/>
      <c r="V10" s="1" t="s">
        <v>1299</v>
      </c>
      <c r="W10" s="1" t="s">
        <v>1300</v>
      </c>
      <c r="X10" s="1"/>
      <c r="Y10" s="1" t="s">
        <v>969</v>
      </c>
      <c r="Z10" s="1"/>
      <c r="AA10" s="1"/>
      <c r="AB10" s="1"/>
      <c r="AC10" s="256" t="s">
        <v>982</v>
      </c>
      <c r="AD10" s="256" t="s">
        <v>982</v>
      </c>
      <c r="AE10" s="177">
        <v>35653</v>
      </c>
      <c r="AF10" s="256" t="s">
        <v>982</v>
      </c>
      <c r="AG10" s="256" t="s">
        <v>982</v>
      </c>
      <c r="AH10" s="177">
        <v>838</v>
      </c>
      <c r="AI10" s="4" t="s">
        <v>982</v>
      </c>
      <c r="AJ10" s="177">
        <v>22</v>
      </c>
      <c r="AK10" s="24" t="s">
        <v>1324</v>
      </c>
      <c r="AL10" s="54" t="s">
        <v>982</v>
      </c>
      <c r="AM10" s="1">
        <v>8.2</v>
      </c>
      <c r="AN10" s="24" t="s">
        <v>1324</v>
      </c>
      <c r="AO10" s="1" t="s">
        <v>54</v>
      </c>
      <c r="AP10" s="1" t="s">
        <v>646</v>
      </c>
      <c r="AQ10" s="1">
        <v>0</v>
      </c>
      <c r="AR10" s="262" t="str">
        <f t="shared" si="0"/>
        <v>NA</v>
      </c>
      <c r="AS10" s="114">
        <f t="shared" si="1"/>
        <v>102.19512195121952</v>
      </c>
      <c r="AT10" s="24" t="s">
        <v>1324</v>
      </c>
      <c r="AU10" s="1" t="s">
        <v>56</v>
      </c>
    </row>
    <row r="11" spans="1:47" ht="102">
      <c r="A11" s="147" t="s">
        <v>394</v>
      </c>
      <c r="B11" s="383" t="s">
        <v>396</v>
      </c>
      <c r="C11" s="41" t="s">
        <v>26</v>
      </c>
      <c r="D11" s="41" t="s">
        <v>1191</v>
      </c>
      <c r="E11" s="27"/>
      <c r="F11" s="28" t="s">
        <v>969</v>
      </c>
      <c r="G11" s="29"/>
      <c r="H11" s="27"/>
      <c r="I11" s="28"/>
      <c r="J11" s="1" t="s">
        <v>415</v>
      </c>
      <c r="K11" s="1" t="s">
        <v>416</v>
      </c>
      <c r="L11" s="1" t="s">
        <v>418</v>
      </c>
      <c r="M11" s="1" t="s">
        <v>419</v>
      </c>
      <c r="N11" s="1"/>
      <c r="O11" s="1"/>
      <c r="P11" s="1" t="s">
        <v>1297</v>
      </c>
      <c r="Q11" s="1" t="s">
        <v>413</v>
      </c>
      <c r="R11" s="1" t="s">
        <v>408</v>
      </c>
      <c r="S11" s="1" t="s">
        <v>420</v>
      </c>
      <c r="T11" s="1"/>
      <c r="U11" s="1"/>
      <c r="V11" s="1" t="s">
        <v>1299</v>
      </c>
      <c r="W11" s="1" t="s">
        <v>1300</v>
      </c>
      <c r="X11" s="1"/>
      <c r="Y11" s="1" t="s">
        <v>969</v>
      </c>
      <c r="Z11" s="1"/>
      <c r="AA11" s="1"/>
      <c r="AB11" s="1"/>
      <c r="AC11" s="256" t="s">
        <v>982</v>
      </c>
      <c r="AD11" s="256" t="s">
        <v>982</v>
      </c>
      <c r="AE11" s="177">
        <v>35653</v>
      </c>
      <c r="AF11" s="256" t="s">
        <v>982</v>
      </c>
      <c r="AG11" s="256" t="s">
        <v>982</v>
      </c>
      <c r="AH11" s="177">
        <v>241</v>
      </c>
      <c r="AI11" s="4" t="s">
        <v>982</v>
      </c>
      <c r="AJ11" s="177">
        <v>22</v>
      </c>
      <c r="AK11" s="24" t="s">
        <v>1324</v>
      </c>
      <c r="AL11" s="177">
        <v>2546</v>
      </c>
      <c r="AM11" s="1" t="s">
        <v>1324</v>
      </c>
      <c r="AN11" s="24" t="s">
        <v>1324</v>
      </c>
      <c r="AO11" s="1" t="s">
        <v>54</v>
      </c>
      <c r="AP11" s="1" t="s">
        <v>646</v>
      </c>
      <c r="AQ11" s="1">
        <v>0</v>
      </c>
      <c r="AR11" s="262">
        <f>IF(OR(AL11="NA",AL11=0),"NA",$AH11/AL11)</f>
        <v>0.09465828750981932</v>
      </c>
      <c r="AS11" s="114" t="str">
        <f>IF(OR(AM11="NA",AM11=0),"NA",$AH11/AM11)</f>
        <v>NA</v>
      </c>
      <c r="AT11" s="24" t="s">
        <v>1324</v>
      </c>
      <c r="AU11" s="1" t="s">
        <v>56</v>
      </c>
    </row>
    <row r="12" spans="1:47" ht="63.75">
      <c r="A12" s="147" t="s">
        <v>91</v>
      </c>
      <c r="B12" s="383" t="s">
        <v>400</v>
      </c>
      <c r="C12" s="41" t="s">
        <v>27</v>
      </c>
      <c r="D12" s="41" t="s">
        <v>672</v>
      </c>
      <c r="E12" s="27"/>
      <c r="F12" s="28" t="s">
        <v>969</v>
      </c>
      <c r="G12" s="29"/>
      <c r="H12" s="27"/>
      <c r="I12" s="28"/>
      <c r="J12" s="1" t="s">
        <v>421</v>
      </c>
      <c r="K12" s="1" t="s">
        <v>422</v>
      </c>
      <c r="L12" s="1" t="s">
        <v>423</v>
      </c>
      <c r="M12" s="1"/>
      <c r="N12" s="1"/>
      <c r="O12" s="1"/>
      <c r="P12" s="1" t="s">
        <v>1297</v>
      </c>
      <c r="Q12" s="1" t="s">
        <v>413</v>
      </c>
      <c r="R12" s="1" t="s">
        <v>408</v>
      </c>
      <c r="S12" s="1" t="s">
        <v>424</v>
      </c>
      <c r="T12" s="1"/>
      <c r="U12" s="1"/>
      <c r="V12" s="1" t="s">
        <v>1299</v>
      </c>
      <c r="W12" s="1" t="s">
        <v>425</v>
      </c>
      <c r="X12" s="1"/>
      <c r="Y12" s="1" t="s">
        <v>969</v>
      </c>
      <c r="Z12" s="1"/>
      <c r="AA12" s="1"/>
      <c r="AB12" s="1"/>
      <c r="AC12" s="256" t="s">
        <v>982</v>
      </c>
      <c r="AD12" s="256" t="s">
        <v>982</v>
      </c>
      <c r="AE12" s="177">
        <v>9750</v>
      </c>
      <c r="AF12" s="256" t="s">
        <v>982</v>
      </c>
      <c r="AG12" s="256" t="s">
        <v>982</v>
      </c>
      <c r="AH12" s="177">
        <v>0</v>
      </c>
      <c r="AI12" s="4" t="s">
        <v>982</v>
      </c>
      <c r="AJ12" s="177">
        <v>30</v>
      </c>
      <c r="AK12" s="24" t="s">
        <v>1324</v>
      </c>
      <c r="AL12" s="54" t="s">
        <v>982</v>
      </c>
      <c r="AM12" s="443">
        <v>0</v>
      </c>
      <c r="AN12" s="24" t="s">
        <v>1324</v>
      </c>
      <c r="AO12" s="1"/>
      <c r="AP12" s="1">
        <v>0</v>
      </c>
      <c r="AQ12" s="1">
        <v>0</v>
      </c>
      <c r="AR12" s="262" t="str">
        <f t="shared" si="0"/>
        <v>NA</v>
      </c>
      <c r="AS12" s="114" t="str">
        <f t="shared" si="1"/>
        <v>NA</v>
      </c>
      <c r="AT12" s="24" t="s">
        <v>1324</v>
      </c>
      <c r="AU12" s="1" t="s">
        <v>1125</v>
      </c>
    </row>
    <row r="13" spans="1:47" ht="89.25">
      <c r="A13" s="147" t="s">
        <v>92</v>
      </c>
      <c r="B13" s="383" t="s">
        <v>1387</v>
      </c>
      <c r="C13" s="41" t="s">
        <v>27</v>
      </c>
      <c r="D13" s="41" t="s">
        <v>672</v>
      </c>
      <c r="E13" s="27"/>
      <c r="F13" s="28"/>
      <c r="G13" s="29"/>
      <c r="H13" s="28" t="s">
        <v>969</v>
      </c>
      <c r="I13" s="28"/>
      <c r="J13" s="1" t="s">
        <v>401</v>
      </c>
      <c r="K13" s="1" t="s">
        <v>402</v>
      </c>
      <c r="L13" s="3" t="s">
        <v>403</v>
      </c>
      <c r="M13" s="1"/>
      <c r="N13" s="1"/>
      <c r="O13" s="1"/>
      <c r="P13" s="1" t="s">
        <v>1297</v>
      </c>
      <c r="Q13" s="1" t="s">
        <v>413</v>
      </c>
      <c r="R13" s="1" t="s">
        <v>408</v>
      </c>
      <c r="S13" s="1" t="s">
        <v>424</v>
      </c>
      <c r="T13" s="1"/>
      <c r="U13" s="1"/>
      <c r="V13" s="1" t="s">
        <v>1299</v>
      </c>
      <c r="W13" s="1" t="s">
        <v>425</v>
      </c>
      <c r="X13" s="1"/>
      <c r="Y13" s="1" t="s">
        <v>969</v>
      </c>
      <c r="Z13" s="1"/>
      <c r="AA13" s="1"/>
      <c r="AB13" s="1"/>
      <c r="AC13" s="256" t="s">
        <v>982</v>
      </c>
      <c r="AD13" s="256" t="s">
        <v>982</v>
      </c>
      <c r="AE13" s="177">
        <v>6630</v>
      </c>
      <c r="AF13" s="256" t="s">
        <v>982</v>
      </c>
      <c r="AG13" s="256" t="s">
        <v>982</v>
      </c>
      <c r="AH13" s="177">
        <v>1287</v>
      </c>
      <c r="AI13" s="4" t="s">
        <v>982</v>
      </c>
      <c r="AJ13" s="177">
        <v>20</v>
      </c>
      <c r="AK13" s="24" t="s">
        <v>1324</v>
      </c>
      <c r="AL13" s="54" t="s">
        <v>982</v>
      </c>
      <c r="AM13" s="1">
        <v>5.6</v>
      </c>
      <c r="AN13" s="24" t="s">
        <v>1324</v>
      </c>
      <c r="AO13" s="1" t="s">
        <v>474</v>
      </c>
      <c r="AP13" s="1" t="s">
        <v>647</v>
      </c>
      <c r="AQ13" s="1">
        <v>0</v>
      </c>
      <c r="AR13" s="262" t="str">
        <f t="shared" si="0"/>
        <v>NA</v>
      </c>
      <c r="AS13" s="114">
        <f t="shared" si="1"/>
        <v>229.82142857142858</v>
      </c>
      <c r="AT13" s="24" t="s">
        <v>1324</v>
      </c>
      <c r="AU13" s="1" t="s">
        <v>475</v>
      </c>
    </row>
    <row r="14" spans="1:47" ht="102">
      <c r="A14" s="147" t="s">
        <v>93</v>
      </c>
      <c r="B14" s="468" t="s">
        <v>426</v>
      </c>
      <c r="C14" s="41" t="s">
        <v>1198</v>
      </c>
      <c r="D14" s="41" t="s">
        <v>292</v>
      </c>
      <c r="E14" s="27"/>
      <c r="F14" s="28"/>
      <c r="G14" s="29"/>
      <c r="H14" s="27" t="s">
        <v>969</v>
      </c>
      <c r="I14" s="28"/>
      <c r="J14" s="1" t="s">
        <v>427</v>
      </c>
      <c r="K14" s="1" t="s">
        <v>428</v>
      </c>
      <c r="L14" s="1" t="s">
        <v>429</v>
      </c>
      <c r="M14" s="1"/>
      <c r="N14" s="1"/>
      <c r="O14" s="1"/>
      <c r="P14" s="1" t="s">
        <v>1297</v>
      </c>
      <c r="Q14" s="1" t="s">
        <v>413</v>
      </c>
      <c r="R14" s="1" t="s">
        <v>408</v>
      </c>
      <c r="S14" s="1" t="s">
        <v>430</v>
      </c>
      <c r="T14" s="1"/>
      <c r="U14" s="1"/>
      <c r="V14" s="1" t="s">
        <v>1299</v>
      </c>
      <c r="W14" s="1" t="s">
        <v>1300</v>
      </c>
      <c r="X14" s="1"/>
      <c r="Y14" s="1" t="s">
        <v>969</v>
      </c>
      <c r="Z14" s="1"/>
      <c r="AA14" s="1"/>
      <c r="AB14" s="1"/>
      <c r="AC14" s="256" t="s">
        <v>982</v>
      </c>
      <c r="AD14" s="256" t="s">
        <v>982</v>
      </c>
      <c r="AE14" s="177">
        <v>5500</v>
      </c>
      <c r="AF14" s="256" t="s">
        <v>982</v>
      </c>
      <c r="AG14" s="256" t="s">
        <v>982</v>
      </c>
      <c r="AH14" s="177">
        <v>2581</v>
      </c>
      <c r="AI14" s="4" t="s">
        <v>982</v>
      </c>
      <c r="AJ14" s="177">
        <v>50</v>
      </c>
      <c r="AK14" s="24" t="s">
        <v>1324</v>
      </c>
      <c r="AL14" s="177">
        <v>59000</v>
      </c>
      <c r="AM14" s="1">
        <v>23.4</v>
      </c>
      <c r="AN14" s="24" t="s">
        <v>1324</v>
      </c>
      <c r="AO14" s="1" t="s">
        <v>472</v>
      </c>
      <c r="AP14" s="1" t="s">
        <v>648</v>
      </c>
      <c r="AQ14" s="1">
        <v>0</v>
      </c>
      <c r="AR14" s="262">
        <f t="shared" si="0"/>
        <v>0.04374576271186441</v>
      </c>
      <c r="AS14" s="114">
        <f t="shared" si="1"/>
        <v>110.29914529914531</v>
      </c>
      <c r="AT14" s="24" t="s">
        <v>1324</v>
      </c>
      <c r="AU14" s="1" t="s">
        <v>473</v>
      </c>
    </row>
    <row r="15" spans="2:47" ht="12.75">
      <c r="B15" s="257" t="s">
        <v>1157</v>
      </c>
      <c r="C15" s="258"/>
      <c r="D15" s="258"/>
      <c r="E15" s="304"/>
      <c r="F15" s="304"/>
      <c r="G15" s="303"/>
      <c r="H15" s="304"/>
      <c r="I15" s="304"/>
      <c r="J15" s="259"/>
      <c r="K15" s="259"/>
      <c r="L15" s="259"/>
      <c r="M15" s="259"/>
      <c r="N15" s="259"/>
      <c r="O15" s="259"/>
      <c r="P15" s="259"/>
      <c r="Q15" s="259"/>
      <c r="R15" s="259"/>
      <c r="S15" s="259"/>
      <c r="T15" s="259"/>
      <c r="U15" s="259"/>
      <c r="V15" s="259"/>
      <c r="W15" s="259"/>
      <c r="X15" s="259"/>
      <c r="Y15" s="259"/>
      <c r="Z15" s="259"/>
      <c r="AA15" s="259"/>
      <c r="AB15" s="259"/>
      <c r="AC15" s="261">
        <f aca="true" t="shared" si="2" ref="AC15:AN15">SUM(AC6:AC14)</f>
        <v>2000</v>
      </c>
      <c r="AD15" s="261">
        <f t="shared" si="2"/>
        <v>48000</v>
      </c>
      <c r="AE15" s="261">
        <f t="shared" si="2"/>
        <v>231086</v>
      </c>
      <c r="AF15" s="261">
        <f t="shared" si="2"/>
        <v>0</v>
      </c>
      <c r="AG15" s="261">
        <f t="shared" si="2"/>
        <v>13777</v>
      </c>
      <c r="AH15" s="261">
        <f t="shared" si="2"/>
        <v>18723.766</v>
      </c>
      <c r="AI15" s="261">
        <f t="shared" si="2"/>
        <v>0</v>
      </c>
      <c r="AJ15" s="261">
        <f t="shared" si="2"/>
        <v>418</v>
      </c>
      <c r="AK15" s="261">
        <f t="shared" si="2"/>
        <v>0</v>
      </c>
      <c r="AL15" s="261">
        <f t="shared" si="2"/>
        <v>124766</v>
      </c>
      <c r="AM15" s="306">
        <f t="shared" si="2"/>
        <v>61.4</v>
      </c>
      <c r="AN15" s="261">
        <f t="shared" si="2"/>
        <v>0</v>
      </c>
      <c r="AO15" s="259"/>
      <c r="AP15" s="259"/>
      <c r="AQ15" s="259"/>
      <c r="AR15" s="264">
        <f t="shared" si="0"/>
        <v>0.15007106102624113</v>
      </c>
      <c r="AS15" s="261">
        <f t="shared" si="1"/>
        <v>304.947328990228</v>
      </c>
      <c r="AT15" s="521" t="s">
        <v>1324</v>
      </c>
      <c r="AU15" s="259"/>
    </row>
    <row r="16" spans="2:47" ht="12.75" hidden="1" outlineLevel="1">
      <c r="B16" s="255" t="s">
        <v>487</v>
      </c>
      <c r="C16" s="171"/>
      <c r="D16" s="171"/>
      <c r="E16" s="172"/>
      <c r="F16" s="172"/>
      <c r="G16" s="172"/>
      <c r="H16" s="172"/>
      <c r="I16" s="172"/>
      <c r="J16" s="173"/>
      <c r="K16" s="173"/>
      <c r="L16" s="173"/>
      <c r="M16" s="173"/>
      <c r="N16" s="173"/>
      <c r="O16" s="173"/>
      <c r="P16" s="173"/>
      <c r="Q16" s="173"/>
      <c r="R16" s="173"/>
      <c r="S16" s="173"/>
      <c r="T16" s="173"/>
      <c r="U16" s="173"/>
      <c r="V16" s="173"/>
      <c r="W16" s="173"/>
      <c r="X16" s="173"/>
      <c r="Y16" s="173"/>
      <c r="Z16" s="173"/>
      <c r="AA16" s="173"/>
      <c r="AB16" s="173"/>
      <c r="AC16" s="49"/>
      <c r="AD16" s="49"/>
      <c r="AE16" s="49"/>
      <c r="AF16" s="49"/>
      <c r="AG16" s="49"/>
      <c r="AH16" s="49"/>
      <c r="AI16" s="49"/>
      <c r="AJ16" s="49"/>
      <c r="AK16" s="49"/>
      <c r="AL16" s="49"/>
      <c r="AM16" s="49"/>
      <c r="AN16" s="49"/>
      <c r="AO16" s="50"/>
      <c r="AP16" s="49"/>
      <c r="AQ16" s="49"/>
      <c r="AR16" s="49"/>
      <c r="AS16" s="180"/>
      <c r="AT16" s="49"/>
      <c r="AU16" s="49"/>
    </row>
    <row r="17" spans="2:47" ht="140.25" hidden="1" outlineLevel="1">
      <c r="B17" s="41" t="s">
        <v>481</v>
      </c>
      <c r="C17" s="41" t="s">
        <v>23</v>
      </c>
      <c r="D17" s="41" t="s">
        <v>483</v>
      </c>
      <c r="E17" s="1"/>
      <c r="F17" s="2" t="s">
        <v>969</v>
      </c>
      <c r="G17" s="47"/>
      <c r="H17" s="1" t="s">
        <v>969</v>
      </c>
      <c r="I17" s="2"/>
      <c r="J17" s="1" t="s">
        <v>484</v>
      </c>
      <c r="K17" s="1"/>
      <c r="L17" s="1"/>
      <c r="M17" s="1"/>
      <c r="N17" s="1"/>
      <c r="O17" s="1"/>
      <c r="P17" s="1"/>
      <c r="Q17" s="1"/>
      <c r="R17" s="1"/>
      <c r="S17" s="1"/>
      <c r="T17" s="1"/>
      <c r="U17" s="1"/>
      <c r="V17" s="1"/>
      <c r="W17" s="1" t="s">
        <v>1300</v>
      </c>
      <c r="X17" s="1"/>
      <c r="Y17" s="1"/>
      <c r="Z17" s="1"/>
      <c r="AA17" s="1"/>
      <c r="AB17" s="1"/>
      <c r="AC17" s="1"/>
      <c r="AD17" s="1"/>
      <c r="AE17" s="1"/>
      <c r="AF17" s="1"/>
      <c r="AG17" s="1"/>
      <c r="AH17" s="1">
        <v>48</v>
      </c>
      <c r="AI17" s="1"/>
      <c r="AJ17" s="177">
        <v>185</v>
      </c>
      <c r="AK17" s="1"/>
      <c r="AL17" s="177"/>
      <c r="AM17" s="1">
        <v>104</v>
      </c>
      <c r="AN17" s="1"/>
      <c r="AO17" s="1" t="s">
        <v>485</v>
      </c>
      <c r="AP17" s="1"/>
      <c r="AQ17" s="1"/>
      <c r="AR17" s="1"/>
      <c r="AS17" s="177"/>
      <c r="AT17" s="1"/>
      <c r="AU17" s="1" t="s">
        <v>486</v>
      </c>
    </row>
    <row r="18" spans="2:47" ht="102" hidden="1" outlineLevel="1">
      <c r="B18" s="41" t="s">
        <v>24</v>
      </c>
      <c r="C18" s="41" t="s">
        <v>23</v>
      </c>
      <c r="D18" s="41" t="s">
        <v>24</v>
      </c>
      <c r="E18" s="1"/>
      <c r="F18" s="2"/>
      <c r="G18" s="3"/>
      <c r="H18" s="1"/>
      <c r="I18" s="2" t="s">
        <v>476</v>
      </c>
      <c r="J18" s="1" t="s">
        <v>1288</v>
      </c>
      <c r="K18" s="1" t="s">
        <v>1289</v>
      </c>
      <c r="L18" s="1" t="s">
        <v>1290</v>
      </c>
      <c r="M18" s="1" t="s">
        <v>1291</v>
      </c>
      <c r="N18" s="1"/>
      <c r="O18" s="1"/>
      <c r="P18" s="1" t="s">
        <v>982</v>
      </c>
      <c r="Q18" s="1" t="s">
        <v>982</v>
      </c>
      <c r="R18" s="1" t="s">
        <v>982</v>
      </c>
      <c r="S18" s="1" t="s">
        <v>982</v>
      </c>
      <c r="T18" s="1" t="s">
        <v>982</v>
      </c>
      <c r="U18" s="1" t="s">
        <v>982</v>
      </c>
      <c r="V18" s="1" t="s">
        <v>1293</v>
      </c>
      <c r="W18" s="1" t="s">
        <v>982</v>
      </c>
      <c r="X18" s="1" t="s">
        <v>982</v>
      </c>
      <c r="Y18" s="1"/>
      <c r="Z18" s="1"/>
      <c r="AA18" s="1"/>
      <c r="AB18" s="1" t="s">
        <v>969</v>
      </c>
      <c r="AC18" s="1"/>
      <c r="AD18" s="1"/>
      <c r="AE18" s="1">
        <v>10</v>
      </c>
      <c r="AF18" s="1"/>
      <c r="AG18" s="1"/>
      <c r="AH18" s="1">
        <v>1.15</v>
      </c>
      <c r="AI18" s="1" t="s">
        <v>982</v>
      </c>
      <c r="AJ18" s="54" t="s">
        <v>982</v>
      </c>
      <c r="AK18" s="1" t="s">
        <v>982</v>
      </c>
      <c r="AL18" s="54" t="s">
        <v>982</v>
      </c>
      <c r="AM18" s="1" t="s">
        <v>982</v>
      </c>
      <c r="AN18" s="1" t="s">
        <v>982</v>
      </c>
      <c r="AO18" s="1" t="s">
        <v>477</v>
      </c>
      <c r="AP18" s="1" t="s">
        <v>982</v>
      </c>
      <c r="AQ18" s="1" t="s">
        <v>982</v>
      </c>
      <c r="AR18" s="1" t="s">
        <v>982</v>
      </c>
      <c r="AS18" s="177"/>
      <c r="AT18" s="1" t="s">
        <v>982</v>
      </c>
      <c r="AU18" s="1" t="s">
        <v>479</v>
      </c>
    </row>
    <row r="19" spans="5:9" ht="12.75" collapsed="1">
      <c r="E19" s="7"/>
      <c r="F19" s="14"/>
      <c r="G19" s="15"/>
      <c r="H19" s="7"/>
      <c r="I19" s="14"/>
    </row>
    <row r="20" spans="2:9" ht="12.75">
      <c r="B20" s="31" t="s">
        <v>1325</v>
      </c>
      <c r="E20" s="7"/>
      <c r="F20" s="14"/>
      <c r="G20" s="15"/>
      <c r="H20" s="7"/>
      <c r="I20" s="14"/>
    </row>
    <row r="21" spans="2:9" ht="12.75">
      <c r="B21" s="31" t="s">
        <v>1326</v>
      </c>
      <c r="E21" s="7"/>
      <c r="F21" s="14"/>
      <c r="G21" s="15"/>
      <c r="H21" s="7"/>
      <c r="I21" s="14"/>
    </row>
    <row r="22" spans="5:9" ht="12.75">
      <c r="E22" s="7"/>
      <c r="F22" s="14"/>
      <c r="G22" s="15"/>
      <c r="H22" s="7"/>
      <c r="I22" s="14"/>
    </row>
    <row r="23" spans="5:9" ht="12.75">
      <c r="E23" s="7"/>
      <c r="F23" s="7"/>
      <c r="G23" s="7"/>
      <c r="H23" s="7"/>
      <c r="I23" s="7"/>
    </row>
    <row r="24" spans="5:9" ht="12.75">
      <c r="E24" s="7"/>
      <c r="F24" s="14"/>
      <c r="G24" s="15"/>
      <c r="H24" s="7"/>
      <c r="I24" s="14"/>
    </row>
    <row r="25" spans="5:9" ht="12.75">
      <c r="E25" s="7"/>
      <c r="F25" s="14"/>
      <c r="G25" s="15"/>
      <c r="H25" s="7"/>
      <c r="I25" s="14"/>
    </row>
    <row r="26" spans="5:9" ht="12.75">
      <c r="E26" s="7"/>
      <c r="F26" s="14"/>
      <c r="G26" s="15"/>
      <c r="H26" s="7"/>
      <c r="I26" s="14"/>
    </row>
    <row r="27" spans="5:9" ht="12.75">
      <c r="E27" s="7"/>
      <c r="F27" s="14"/>
      <c r="G27" s="15"/>
      <c r="H27" s="7"/>
      <c r="I27" s="14"/>
    </row>
    <row r="28" spans="5:9" ht="12.75">
      <c r="E28" s="7"/>
      <c r="F28" s="14"/>
      <c r="G28" s="15"/>
      <c r="H28" s="7"/>
      <c r="I28" s="14"/>
    </row>
    <row r="29" spans="5:9" ht="12.75">
      <c r="E29" s="7"/>
      <c r="F29" s="14"/>
      <c r="G29" s="15"/>
      <c r="H29" s="7"/>
      <c r="I29" s="14"/>
    </row>
    <row r="30" spans="5:9" ht="12.75">
      <c r="E30" s="7"/>
      <c r="F30" s="14"/>
      <c r="G30" s="15"/>
      <c r="H30" s="7"/>
      <c r="I30" s="14"/>
    </row>
    <row r="31" spans="5:9" ht="12.75">
      <c r="E31" s="7"/>
      <c r="F31" s="14"/>
      <c r="G31" s="15"/>
      <c r="H31" s="7"/>
      <c r="I31" s="14"/>
    </row>
    <row r="32" spans="5:9" ht="12.75">
      <c r="E32" s="7"/>
      <c r="F32" s="14"/>
      <c r="G32" s="15"/>
      <c r="H32" s="7"/>
      <c r="I32" s="14"/>
    </row>
    <row r="33" spans="5:9" ht="12.75">
      <c r="E33" s="7"/>
      <c r="F33" s="14"/>
      <c r="G33" s="15"/>
      <c r="H33" s="7"/>
      <c r="I33" s="14"/>
    </row>
    <row r="34" spans="5:9" ht="12.75">
      <c r="E34" s="7"/>
      <c r="F34" s="14"/>
      <c r="G34" s="15"/>
      <c r="H34" s="7"/>
      <c r="I34" s="14"/>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sheetData>
  <sheetProtection password="DE47" sheet="1" objects="1" scenarios="1"/>
  <mergeCells count="1">
    <mergeCell ref="AO4:AO5"/>
  </mergeCells>
  <hyperlinks>
    <hyperlink ref="L13" r:id="rId1" display="schaudhr@energy.state.ca.us"/>
  </hyperlinks>
  <printOptions/>
  <pageMargins left="0.5" right="0.5" top="0.54" bottom="1" header="0.5" footer="0.5"/>
  <pageSetup fitToHeight="4" fitToWidth="1" horizontalDpi="300" verticalDpi="300" orientation="landscape" scale="46" r:id="rId5"/>
  <headerFooter alignWithMargins="0">
    <oddHeader>&amp;CCALMAC Summary Study</oddHeader>
    <oddFooter>&amp;LGlobal Energy Partners, LLC&amp;C&amp;D&amp;RPage &amp;P of &amp;N</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Energy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CALMAC Summary Study Database</dc:title>
  <dc:subject>CALMAC Summary Study Database</dc:subject>
  <dc:creator>Omar Siddiqui</dc:creator>
  <cp:keywords/>
  <dc:description/>
  <cp:lastModifiedBy>GEPLLC</cp:lastModifiedBy>
  <cp:lastPrinted>2002-12-31T22:31:06Z</cp:lastPrinted>
  <dcterms:created xsi:type="dcterms:W3CDTF">2002-04-24T22:31:14Z</dcterms:created>
  <dcterms:modified xsi:type="dcterms:W3CDTF">2003-03-14T02:02:28Z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