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SCE\BIP 2014\Models\Ex Post Protocol Tables\"/>
    </mc:Choice>
  </mc:AlternateContent>
  <bookViews>
    <workbookView xWindow="0" yWindow="75" windowWidth="19035" windowHeight="11760"/>
  </bookViews>
  <sheets>
    <sheet name="Table" sheetId="4" r:id="rId1"/>
    <sheet name="Lookups" sheetId="2" state="hidden" r:id="rId2"/>
    <sheet name="Data" sheetId="1" state="hidden" r:id="rId3"/>
  </sheets>
  <definedNames>
    <definedName name="_xlnm._FilterDatabase" localSheetId="2" hidden="1">Data!$A$1:$FR$9</definedName>
    <definedName name="Bid">Lookups!$D$8</definedName>
    <definedName name="_xlnm.Criteria">Lookups!$B$3:$C$4</definedName>
    <definedName name="data">Data!$A$1:$FS$2773</definedName>
    <definedName name="date">Table!$B$5</definedName>
    <definedName name="date_list">Lookups!$K$4:$K$5</definedName>
    <definedName name="dual_enrol_list">Lookups!$N$4:$N$6</definedName>
    <definedName name="Enrolled">Lookups!$D$6</definedName>
    <definedName name="ind_list">Lookups!$L$4:$L$11</definedName>
    <definedName name="lca">Table!$B$8</definedName>
    <definedName name="lca_list">Lookups!$M$4:$M$7</definedName>
    <definedName name="_xlnm.Print_Area" localSheetId="0">Table!$A$2:$N$36</definedName>
    <definedName name="Result_type">Table!$B$4</definedName>
    <definedName name="Result_type_list">Lookups!$J$4:$J$5</definedName>
    <definedName name="table_for_PGE_CBP_expost_private" localSheetId="2">Data!$A$1:$FR$199</definedName>
    <definedName name="Two_way_tab_flag">Lookups!$D$7</definedName>
  </definedNames>
  <calcPr calcId="152511"/>
</workbook>
</file>

<file path=xl/calcChain.xml><?xml version="1.0" encoding="utf-8"?>
<calcChain xmlns="http://schemas.openxmlformats.org/spreadsheetml/2006/main">
  <c r="S4" i="2" l="1"/>
  <c r="N31" i="4" l="1"/>
  <c r="M31" i="4"/>
  <c r="K31" i="4"/>
  <c r="J31" i="4"/>
  <c r="H31" i="4"/>
  <c r="F31" i="4"/>
  <c r="N30" i="4"/>
  <c r="M30" i="4"/>
  <c r="K30" i="4"/>
  <c r="J30" i="4"/>
  <c r="H30" i="4"/>
  <c r="F30" i="4"/>
  <c r="N29" i="4"/>
  <c r="M29" i="4"/>
  <c r="K29" i="4"/>
  <c r="J29" i="4"/>
  <c r="H29" i="4"/>
  <c r="F29" i="4"/>
  <c r="N28" i="4"/>
  <c r="M28" i="4"/>
  <c r="K28" i="4"/>
  <c r="J28" i="4"/>
  <c r="H28" i="4"/>
  <c r="F28" i="4"/>
  <c r="N27" i="4"/>
  <c r="M27" i="4"/>
  <c r="K27" i="4"/>
  <c r="J27" i="4"/>
  <c r="H27" i="4"/>
  <c r="F27" i="4"/>
  <c r="N26" i="4"/>
  <c r="M26" i="4"/>
  <c r="K26" i="4"/>
  <c r="J26" i="4"/>
  <c r="H26" i="4"/>
  <c r="F26" i="4"/>
  <c r="N25" i="4"/>
  <c r="M25" i="4"/>
  <c r="K25" i="4"/>
  <c r="J25" i="4"/>
  <c r="H25" i="4"/>
  <c r="F25" i="4"/>
  <c r="N24" i="4"/>
  <c r="M24" i="4"/>
  <c r="K24" i="4"/>
  <c r="J24" i="4"/>
  <c r="H24" i="4"/>
  <c r="F24" i="4"/>
  <c r="N23" i="4"/>
  <c r="M23" i="4"/>
  <c r="K23" i="4"/>
  <c r="J23" i="4"/>
  <c r="H23" i="4"/>
  <c r="F23" i="4"/>
  <c r="N22" i="4"/>
  <c r="M22" i="4"/>
  <c r="K22" i="4"/>
  <c r="J22" i="4"/>
  <c r="H22" i="4"/>
  <c r="F22" i="4"/>
  <c r="N21" i="4"/>
  <c r="M21" i="4"/>
  <c r="K21" i="4"/>
  <c r="J21" i="4"/>
  <c r="H21" i="4"/>
  <c r="F21" i="4"/>
  <c r="N20" i="4"/>
  <c r="M20" i="4"/>
  <c r="K20" i="4"/>
  <c r="J20" i="4"/>
  <c r="H20" i="4"/>
  <c r="F20" i="4"/>
  <c r="N19" i="4"/>
  <c r="M19" i="4"/>
  <c r="K19" i="4"/>
  <c r="J19" i="4"/>
  <c r="H19" i="4"/>
  <c r="F19" i="4"/>
  <c r="N18" i="4"/>
  <c r="M18" i="4"/>
  <c r="K18" i="4"/>
  <c r="J18" i="4"/>
  <c r="H18" i="4"/>
  <c r="F18" i="4"/>
  <c r="N17" i="4"/>
  <c r="M17" i="4"/>
  <c r="K17" i="4"/>
  <c r="J17" i="4"/>
  <c r="H17" i="4"/>
  <c r="F17" i="4"/>
  <c r="N16" i="4"/>
  <c r="M16" i="4"/>
  <c r="K16" i="4"/>
  <c r="J16" i="4"/>
  <c r="H16" i="4"/>
  <c r="F16" i="4"/>
  <c r="N15" i="4"/>
  <c r="M15" i="4"/>
  <c r="K15" i="4"/>
  <c r="J15" i="4"/>
  <c r="H15" i="4"/>
  <c r="F15" i="4"/>
  <c r="N14" i="4"/>
  <c r="M14" i="4"/>
  <c r="K14" i="4"/>
  <c r="J14" i="4"/>
  <c r="H14" i="4"/>
  <c r="F14" i="4"/>
  <c r="N13" i="4"/>
  <c r="M13" i="4"/>
  <c r="K13" i="4"/>
  <c r="J13" i="4"/>
  <c r="H13" i="4"/>
  <c r="F13" i="4"/>
  <c r="N12" i="4"/>
  <c r="M12" i="4"/>
  <c r="K12" i="4"/>
  <c r="J12" i="4"/>
  <c r="H12" i="4"/>
  <c r="F12" i="4"/>
  <c r="N11" i="4"/>
  <c r="M11" i="4"/>
  <c r="K11" i="4"/>
  <c r="J11" i="4"/>
  <c r="H11" i="4"/>
  <c r="F11" i="4"/>
  <c r="N10" i="4"/>
  <c r="M10" i="4"/>
  <c r="K10" i="4"/>
  <c r="J10" i="4"/>
  <c r="H10" i="4"/>
  <c r="F10" i="4"/>
  <c r="N9" i="4"/>
  <c r="M9" i="4"/>
  <c r="K9" i="4"/>
  <c r="J9" i="4"/>
  <c r="H9" i="4"/>
  <c r="F9" i="4"/>
  <c r="N8" i="4"/>
  <c r="M8" i="4"/>
  <c r="K8" i="4"/>
  <c r="J8" i="4"/>
  <c r="H8" i="4"/>
  <c r="F8" i="4"/>
  <c r="J2" i="4"/>
  <c r="S5" i="2" l="1"/>
  <c r="I2" i="4" l="1"/>
  <c r="H32" i="4" l="1"/>
  <c r="G32" i="4"/>
  <c r="G5" i="4"/>
  <c r="D7" i="2" l="1"/>
  <c r="C32" i="2" l="1"/>
  <c r="F12" i="2" l="1"/>
  <c r="F11" i="2"/>
  <c r="F32" i="4"/>
  <c r="J3" i="4" l="1"/>
  <c r="A27" i="2"/>
  <c r="A26" i="2"/>
  <c r="A25" i="2"/>
  <c r="A24" i="2"/>
  <c r="A23" i="2"/>
  <c r="A22" i="2"/>
  <c r="A21" i="2"/>
  <c r="A20" i="2"/>
  <c r="A19" i="2"/>
  <c r="A18" i="2"/>
  <c r="A17" i="2"/>
  <c r="G32" i="2" l="1"/>
  <c r="A33" i="2"/>
  <c r="C33" i="2" s="1"/>
  <c r="C4" i="2"/>
  <c r="A1" i="4" s="1"/>
  <c r="B4" i="2"/>
  <c r="J32" i="4"/>
  <c r="J6" i="4"/>
  <c r="H5" i="4"/>
  <c r="F5" i="4"/>
  <c r="D8" i="2" l="1"/>
  <c r="G2" i="4"/>
  <c r="D6" i="2"/>
  <c r="G3" i="4"/>
  <c r="M33" i="2"/>
  <c r="G33" i="2"/>
  <c r="M32" i="2"/>
  <c r="L33" i="2"/>
  <c r="E33" i="2"/>
  <c r="H33" i="2"/>
  <c r="I33" i="2"/>
  <c r="J33" i="2"/>
  <c r="F33" i="2"/>
  <c r="D33" i="2"/>
  <c r="K33" i="2"/>
  <c r="L32" i="2"/>
  <c r="D32" i="2"/>
  <c r="E32" i="2"/>
  <c r="H32" i="2"/>
  <c r="I32" i="2"/>
  <c r="J32" i="2"/>
  <c r="F32" i="2"/>
  <c r="K32" i="2"/>
  <c r="A34" i="2"/>
  <c r="C34" i="2" s="1"/>
  <c r="I8" i="4" l="1"/>
  <c r="B32" i="2" s="1"/>
  <c r="I12" i="4"/>
  <c r="B36" i="2" s="1"/>
  <c r="L14" i="4"/>
  <c r="L30" i="4"/>
  <c r="L27" i="4"/>
  <c r="L21" i="4"/>
  <c r="I30" i="4"/>
  <c r="B54" i="2" s="1"/>
  <c r="L15" i="4"/>
  <c r="I24" i="4"/>
  <c r="B48" i="2" s="1"/>
  <c r="I13" i="4"/>
  <c r="B37" i="2" s="1"/>
  <c r="L19" i="4"/>
  <c r="I28" i="4"/>
  <c r="B52" i="2" s="1"/>
  <c r="I10" i="4"/>
  <c r="B34" i="2" s="1"/>
  <c r="L17" i="4"/>
  <c r="I26" i="4"/>
  <c r="B50" i="2" s="1"/>
  <c r="L11" i="4"/>
  <c r="I20" i="4"/>
  <c r="B44" i="2" s="1"/>
  <c r="L13" i="4"/>
  <c r="I22" i="4"/>
  <c r="B46" i="2" s="1"/>
  <c r="L29" i="4"/>
  <c r="L12" i="4"/>
  <c r="G19" i="4"/>
  <c r="I21" i="4"/>
  <c r="B45" i="2" s="1"/>
  <c r="L28" i="4"/>
  <c r="I11" i="4"/>
  <c r="B35" i="2" s="1"/>
  <c r="L18" i="4"/>
  <c r="I27" i="4"/>
  <c r="B51" i="2" s="1"/>
  <c r="L9" i="4"/>
  <c r="I18" i="4"/>
  <c r="B42" i="2" s="1"/>
  <c r="L25" i="4"/>
  <c r="G14" i="4"/>
  <c r="L23" i="4"/>
  <c r="I17" i="4"/>
  <c r="B41" i="2" s="1"/>
  <c r="G21" i="4"/>
  <c r="I23" i="4"/>
  <c r="B47" i="2" s="1"/>
  <c r="I14" i="4"/>
  <c r="B38" i="2" s="1"/>
  <c r="I16" i="4"/>
  <c r="B40" i="2" s="1"/>
  <c r="I9" i="4"/>
  <c r="B33" i="2" s="1"/>
  <c r="L16" i="4"/>
  <c r="I25" i="4"/>
  <c r="B49" i="2" s="1"/>
  <c r="I15" i="4"/>
  <c r="B39" i="2" s="1"/>
  <c r="G17" i="4"/>
  <c r="G23" i="4"/>
  <c r="G13" i="4"/>
  <c r="I31" i="4"/>
  <c r="B55" i="2" s="1"/>
  <c r="I29" i="4"/>
  <c r="B53" i="2" s="1"/>
  <c r="L10" i="4"/>
  <c r="I19" i="4"/>
  <c r="B43" i="2" s="1"/>
  <c r="G29" i="4"/>
  <c r="A35" i="2"/>
  <c r="C35" i="2" s="1"/>
  <c r="G26" i="4" l="1"/>
  <c r="G15" i="4"/>
  <c r="G8" i="4"/>
  <c r="G20" i="4"/>
  <c r="G27" i="4"/>
  <c r="G11" i="4"/>
  <c r="G31" i="4"/>
  <c r="G18" i="4"/>
  <c r="G24" i="4"/>
  <c r="L31" i="4"/>
  <c r="G12" i="4"/>
  <c r="G22" i="4"/>
  <c r="L22" i="4"/>
  <c r="G10" i="4"/>
  <c r="G16" i="4"/>
  <c r="L26" i="4"/>
  <c r="H34" i="4"/>
  <c r="L20" i="4"/>
  <c r="F34" i="4"/>
  <c r="G9" i="4"/>
  <c r="G30" i="4"/>
  <c r="G25" i="4"/>
  <c r="G28" i="4"/>
  <c r="I34" i="4"/>
  <c r="L24" i="4"/>
  <c r="L8" i="4"/>
  <c r="G34" i="2"/>
  <c r="M34" i="2"/>
  <c r="L34" i="2"/>
  <c r="E34" i="2"/>
  <c r="H34" i="2"/>
  <c r="I34" i="2"/>
  <c r="J34" i="2"/>
  <c r="K34" i="2"/>
  <c r="F34" i="2"/>
  <c r="D34" i="2"/>
  <c r="A36" i="2"/>
  <c r="C36" i="2" s="1"/>
  <c r="G34" i="4" l="1"/>
  <c r="M35" i="2"/>
  <c r="G35" i="2"/>
  <c r="L35" i="2"/>
  <c r="E35" i="2"/>
  <c r="H35" i="2"/>
  <c r="I35" i="2"/>
  <c r="J35" i="2"/>
  <c r="F35" i="2"/>
  <c r="D35" i="2"/>
  <c r="K35" i="2"/>
  <c r="A37" i="2"/>
  <c r="C37" i="2" s="1"/>
  <c r="M36" i="2" l="1"/>
  <c r="G36" i="2"/>
  <c r="L36" i="2"/>
  <c r="E36" i="2"/>
  <c r="H36" i="2"/>
  <c r="D36" i="2"/>
  <c r="I36" i="2"/>
  <c r="J36" i="2"/>
  <c r="K36" i="2"/>
  <c r="F36" i="2"/>
  <c r="A38" i="2"/>
  <c r="C38" i="2" s="1"/>
  <c r="M37" i="2" l="1"/>
  <c r="G37" i="2"/>
  <c r="L37" i="2"/>
  <c r="E37" i="2"/>
  <c r="H37" i="2"/>
  <c r="I37" i="2"/>
  <c r="D37" i="2"/>
  <c r="J37" i="2"/>
  <c r="K37" i="2"/>
  <c r="F37" i="2"/>
  <c r="A39" i="2"/>
  <c r="C39" i="2" s="1"/>
  <c r="M38" i="2" l="1"/>
  <c r="G38" i="2"/>
  <c r="L38" i="2"/>
  <c r="E38" i="2"/>
  <c r="H38" i="2"/>
  <c r="I38" i="2"/>
  <c r="J38" i="2"/>
  <c r="D38" i="2"/>
  <c r="F38" i="2"/>
  <c r="K38" i="2"/>
  <c r="A40" i="2"/>
  <c r="C40" i="2" s="1"/>
  <c r="M39" i="2" l="1"/>
  <c r="G39" i="2"/>
  <c r="L39" i="2"/>
  <c r="H39" i="2"/>
  <c r="I39" i="2"/>
  <c r="J39" i="2"/>
  <c r="K39" i="2"/>
  <c r="E39" i="2"/>
  <c r="D39" i="2"/>
  <c r="F39" i="2"/>
  <c r="A41" i="2"/>
  <c r="C41" i="2" s="1"/>
  <c r="M40" i="2" l="1"/>
  <c r="G40" i="2"/>
  <c r="L40" i="2"/>
  <c r="D40" i="2"/>
  <c r="H40" i="2"/>
  <c r="I40" i="2"/>
  <c r="J40" i="2"/>
  <c r="E40" i="2"/>
  <c r="F40" i="2"/>
  <c r="K40" i="2"/>
  <c r="A42" i="2"/>
  <c r="C42" i="2" s="1"/>
  <c r="M41" i="2" l="1"/>
  <c r="G41" i="2"/>
  <c r="L41" i="2"/>
  <c r="H41" i="2"/>
  <c r="I41" i="2"/>
  <c r="J41" i="2"/>
  <c r="K41" i="2"/>
  <c r="D41" i="2"/>
  <c r="E41" i="2"/>
  <c r="F41" i="2"/>
  <c r="A43" i="2"/>
  <c r="C43" i="2" s="1"/>
  <c r="G42" i="2" l="1"/>
  <c r="M42" i="2"/>
  <c r="L42" i="2"/>
  <c r="H42" i="2"/>
  <c r="I42" i="2"/>
  <c r="J42" i="2"/>
  <c r="E42" i="2"/>
  <c r="D42" i="2"/>
  <c r="F42" i="2"/>
  <c r="K42" i="2"/>
  <c r="A44" i="2"/>
  <c r="C44" i="2" s="1"/>
  <c r="M43" i="2" l="1"/>
  <c r="G43" i="2"/>
  <c r="L43" i="2"/>
  <c r="H43" i="2"/>
  <c r="I43" i="2"/>
  <c r="J43" i="2"/>
  <c r="K43" i="2"/>
  <c r="D43" i="2"/>
  <c r="E43" i="2"/>
  <c r="F43" i="2"/>
  <c r="A45" i="2"/>
  <c r="C45" i="2" s="1"/>
  <c r="M44" i="2" l="1"/>
  <c r="G44" i="2"/>
  <c r="L44" i="2"/>
  <c r="H44" i="2"/>
  <c r="D44" i="2"/>
  <c r="I44" i="2"/>
  <c r="J44" i="2"/>
  <c r="E44" i="2"/>
  <c r="F44" i="2"/>
  <c r="K44" i="2"/>
  <c r="A46" i="2"/>
  <c r="C46" i="2" s="1"/>
  <c r="M45" i="2" l="1"/>
  <c r="G45" i="2"/>
  <c r="L45" i="2"/>
  <c r="H45" i="2"/>
  <c r="I45" i="2"/>
  <c r="D45" i="2"/>
  <c r="J45" i="2"/>
  <c r="K45" i="2"/>
  <c r="E45" i="2"/>
  <c r="F45" i="2"/>
  <c r="A47" i="2"/>
  <c r="C47" i="2" s="1"/>
  <c r="M46" i="2" l="1"/>
  <c r="G46" i="2"/>
  <c r="L46" i="2"/>
  <c r="H46" i="2"/>
  <c r="I46" i="2"/>
  <c r="J46" i="2"/>
  <c r="E46" i="2"/>
  <c r="F46" i="2"/>
  <c r="D46" i="2"/>
  <c r="K46" i="2"/>
  <c r="A48" i="2"/>
  <c r="C48" i="2" s="1"/>
  <c r="M47" i="2" l="1"/>
  <c r="G47" i="2"/>
  <c r="L47" i="2"/>
  <c r="H47" i="2"/>
  <c r="I47" i="2"/>
  <c r="J47" i="2"/>
  <c r="K47" i="2"/>
  <c r="D47" i="2"/>
  <c r="E47" i="2"/>
  <c r="F47" i="2"/>
  <c r="A49" i="2"/>
  <c r="C49" i="2" s="1"/>
  <c r="M48" i="2" l="1"/>
  <c r="G48" i="2"/>
  <c r="L48" i="2"/>
  <c r="D48" i="2"/>
  <c r="H48" i="2"/>
  <c r="I48" i="2"/>
  <c r="J48" i="2"/>
  <c r="E48" i="2"/>
  <c r="F48" i="2"/>
  <c r="K48" i="2"/>
  <c r="A50" i="2"/>
  <c r="C50" i="2" s="1"/>
  <c r="M49" i="2" l="1"/>
  <c r="G49" i="2"/>
  <c r="L49" i="2"/>
  <c r="H49" i="2"/>
  <c r="I49" i="2"/>
  <c r="J49" i="2"/>
  <c r="K49" i="2"/>
  <c r="E49" i="2"/>
  <c r="F49" i="2"/>
  <c r="D49" i="2"/>
  <c r="A51" i="2"/>
  <c r="C51" i="2" s="1"/>
  <c r="G50" i="2" l="1"/>
  <c r="M50" i="2"/>
  <c r="L50" i="2"/>
  <c r="H50" i="2"/>
  <c r="I50" i="2"/>
  <c r="J50" i="2"/>
  <c r="E50" i="2"/>
  <c r="F50" i="2"/>
  <c r="K50" i="2"/>
  <c r="D50" i="2"/>
  <c r="A52" i="2"/>
  <c r="C52" i="2" s="1"/>
  <c r="M51" i="2" l="1"/>
  <c r="G51" i="2"/>
  <c r="L51" i="2"/>
  <c r="H51" i="2"/>
  <c r="I51" i="2"/>
  <c r="J51" i="2"/>
  <c r="K51" i="2"/>
  <c r="E51" i="2"/>
  <c r="F51" i="2"/>
  <c r="D51" i="2"/>
  <c r="A53" i="2"/>
  <c r="C53" i="2" s="1"/>
  <c r="M52" i="2" l="1"/>
  <c r="G52" i="2"/>
  <c r="L52" i="2"/>
  <c r="H52" i="2"/>
  <c r="D52" i="2"/>
  <c r="I52" i="2"/>
  <c r="J52" i="2"/>
  <c r="E52" i="2"/>
  <c r="F52" i="2"/>
  <c r="K52" i="2"/>
  <c r="A54" i="2"/>
  <c r="C54" i="2" s="1"/>
  <c r="M53" i="2" l="1"/>
  <c r="G53" i="2"/>
  <c r="L53" i="2"/>
  <c r="H53" i="2"/>
  <c r="I53" i="2"/>
  <c r="D53" i="2"/>
  <c r="J53" i="2"/>
  <c r="K53" i="2"/>
  <c r="E53" i="2"/>
  <c r="F53" i="2"/>
  <c r="A55" i="2"/>
  <c r="C55" i="2" s="1"/>
  <c r="M54" i="2" l="1"/>
  <c r="G54" i="2"/>
  <c r="M55" i="2"/>
  <c r="G55" i="2"/>
  <c r="L54" i="2"/>
  <c r="H54" i="2"/>
  <c r="I54" i="2"/>
  <c r="D54" i="2"/>
  <c r="E54" i="2"/>
  <c r="F54" i="2"/>
  <c r="J54" i="2"/>
  <c r="K54" i="2"/>
  <c r="L55" i="2"/>
  <c r="L56" i="2" s="1"/>
  <c r="H55" i="2"/>
  <c r="H56" i="2" s="1"/>
  <c r="I55" i="2"/>
  <c r="I56" i="2" s="1"/>
  <c r="J55" i="2"/>
  <c r="D55" i="2"/>
  <c r="K55" i="2"/>
  <c r="E55" i="2"/>
  <c r="F55" i="2"/>
  <c r="J56" i="2" l="1"/>
  <c r="K56" i="2"/>
  <c r="G56" i="2"/>
  <c r="I35" i="4" s="1"/>
  <c r="F56" i="2"/>
  <c r="H35" i="4" s="1"/>
  <c r="E56" i="2"/>
  <c r="G35" i="4" s="1"/>
  <c r="D56" i="2"/>
  <c r="F35" i="4" s="1"/>
  <c r="M56" i="2"/>
  <c r="U8" i="2" l="1"/>
  <c r="S8" i="2"/>
  <c r="V8" i="2"/>
  <c r="N35" i="4" s="1"/>
  <c r="R8" i="2"/>
  <c r="J35" i="4" s="1"/>
  <c r="T8" i="2"/>
  <c r="L35" i="4" s="1"/>
  <c r="K35" i="4"/>
  <c r="M35" i="4"/>
  <c r="H36" i="4"/>
</calcChain>
</file>

<file path=xl/connections.xml><?xml version="1.0" encoding="utf-8"?>
<connections xmlns="http://schemas.openxmlformats.org/spreadsheetml/2006/main">
  <connection id="1" name="table_for_PGE CBP_expost_private" type="6" refreshedVersion="5" deleted="1" background="1" saveData="1">
    <textPr codePage="437" sourceFile="P:\SCE\DBP 2013\Models\SCE\table_for_SCE DBP_expost_private.txt">
      <textFields count="4"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<sst xmlns="http://schemas.openxmlformats.org/spreadsheetml/2006/main" count="270" uniqueCount="245">
  <si>
    <t>LCA</t>
  </si>
  <si>
    <t>All</t>
  </si>
  <si>
    <t>Typical Event Day</t>
  </si>
  <si>
    <t>Aggregate Impact</t>
  </si>
  <si>
    <t>Hour Ending</t>
  </si>
  <si>
    <t>10th%ile</t>
  </si>
  <si>
    <t>30th%ile</t>
  </si>
  <si>
    <t>50th%ile</t>
  </si>
  <si>
    <t>70th%ile</t>
  </si>
  <si>
    <t>90th%ile</t>
  </si>
  <si>
    <t>DR Program:</t>
  </si>
  <si>
    <t>10th</t>
  </si>
  <si>
    <t>30th</t>
  </si>
  <si>
    <t>50th</t>
  </si>
  <si>
    <t>70th</t>
  </si>
  <si>
    <t>90th</t>
  </si>
  <si>
    <t>Daily</t>
  </si>
  <si>
    <t>n/a</t>
  </si>
  <si>
    <t>Local Capacity Area:</t>
  </si>
  <si>
    <t>Utility:</t>
  </si>
  <si>
    <t>Type of Results:</t>
  </si>
  <si>
    <t>Day Type:</t>
  </si>
  <si>
    <t>PCTILE10_hr1</t>
  </si>
  <si>
    <t>PCTILE10_hr2</t>
  </si>
  <si>
    <t>PCTILE10_hr3</t>
  </si>
  <si>
    <t>PCTILE10_hr4</t>
  </si>
  <si>
    <t>PCTILE10_hr5</t>
  </si>
  <si>
    <t>PCTILE10_hr6</t>
  </si>
  <si>
    <t>PCTILE10_hr7</t>
  </si>
  <si>
    <t>PCTILE10_hr8</t>
  </si>
  <si>
    <t>PCTILE10_hr9</t>
  </si>
  <si>
    <t>PCTILE10_hr10</t>
  </si>
  <si>
    <t>PCTILE10_hr11</t>
  </si>
  <si>
    <t>PCTILE10_hr12</t>
  </si>
  <si>
    <t>PCTILE10_hr13</t>
  </si>
  <si>
    <t>PCTILE10_hr14</t>
  </si>
  <si>
    <t>PCTILE10_hr15</t>
  </si>
  <si>
    <t>PCTILE10_hr16</t>
  </si>
  <si>
    <t>PCTILE10_hr17</t>
  </si>
  <si>
    <t>PCTILE10_hr18</t>
  </si>
  <si>
    <t>PCTILE10_hr19</t>
  </si>
  <si>
    <t>PCTILE10_hr20</t>
  </si>
  <si>
    <t>PCTILE10_hr21</t>
  </si>
  <si>
    <t>PCTILE10_hr22</t>
  </si>
  <si>
    <t>PCTILE10_hr23</t>
  </si>
  <si>
    <t>PCTILE10_hr24</t>
  </si>
  <si>
    <t>PCTILE30_hr1</t>
  </si>
  <si>
    <t>PCTILE30_hr2</t>
  </si>
  <si>
    <t>PCTILE30_hr3</t>
  </si>
  <si>
    <t>PCTILE30_hr4</t>
  </si>
  <si>
    <t>PCTILE30_hr5</t>
  </si>
  <si>
    <t>PCTILE30_hr6</t>
  </si>
  <si>
    <t>PCTILE30_hr7</t>
  </si>
  <si>
    <t>PCTILE30_hr8</t>
  </si>
  <si>
    <t>PCTILE30_hr9</t>
  </si>
  <si>
    <t>PCTILE30_hr10</t>
  </si>
  <si>
    <t>PCTILE30_hr11</t>
  </si>
  <si>
    <t>PCTILE30_hr12</t>
  </si>
  <si>
    <t>PCTILE30_hr13</t>
  </si>
  <si>
    <t>PCTILE30_hr14</t>
  </si>
  <si>
    <t>PCTILE30_hr15</t>
  </si>
  <si>
    <t>PCTILE30_hr16</t>
  </si>
  <si>
    <t>PCTILE30_hr17</t>
  </si>
  <si>
    <t>PCTILE30_hr18</t>
  </si>
  <si>
    <t>PCTILE30_hr19</t>
  </si>
  <si>
    <t>PCTILE30_hr20</t>
  </si>
  <si>
    <t>PCTILE30_hr21</t>
  </si>
  <si>
    <t>PCTILE30_hr22</t>
  </si>
  <si>
    <t>PCTILE30_hr23</t>
  </si>
  <si>
    <t>PCTILE30_hr24</t>
  </si>
  <si>
    <t>PCTILE50_hr1</t>
  </si>
  <si>
    <t>PCTILE50_hr2</t>
  </si>
  <si>
    <t>PCTILE50_hr3</t>
  </si>
  <si>
    <t>PCTILE50_hr4</t>
  </si>
  <si>
    <t>PCTILE50_hr5</t>
  </si>
  <si>
    <t>PCTILE50_hr6</t>
  </si>
  <si>
    <t>PCTILE50_hr7</t>
  </si>
  <si>
    <t>PCTILE50_hr8</t>
  </si>
  <si>
    <t>PCTILE50_hr9</t>
  </si>
  <si>
    <t>PCTILE50_hr10</t>
  </si>
  <si>
    <t>PCTILE50_hr11</t>
  </si>
  <si>
    <t>PCTILE50_hr12</t>
  </si>
  <si>
    <t>PCTILE50_hr13</t>
  </si>
  <si>
    <t>PCTILE50_hr14</t>
  </si>
  <si>
    <t>PCTILE50_hr15</t>
  </si>
  <si>
    <t>PCTILE50_hr16</t>
  </si>
  <si>
    <t>PCTILE50_hr17</t>
  </si>
  <si>
    <t>PCTILE50_hr18</t>
  </si>
  <si>
    <t>PCTILE50_hr19</t>
  </si>
  <si>
    <t>PCTILE50_hr20</t>
  </si>
  <si>
    <t>PCTILE50_hr21</t>
  </si>
  <si>
    <t>PCTILE50_hr22</t>
  </si>
  <si>
    <t>PCTILE50_hr23</t>
  </si>
  <si>
    <t>PCTILE50_hr24</t>
  </si>
  <si>
    <t>PCTILE70_hr1</t>
  </si>
  <si>
    <t>PCTILE70_hr2</t>
  </si>
  <si>
    <t>PCTILE70_hr3</t>
  </si>
  <si>
    <t>PCTILE70_hr4</t>
  </si>
  <si>
    <t>PCTILE70_hr5</t>
  </si>
  <si>
    <t>PCTILE70_hr6</t>
  </si>
  <si>
    <t>PCTILE70_hr7</t>
  </si>
  <si>
    <t>PCTILE70_hr8</t>
  </si>
  <si>
    <t>PCTILE70_hr9</t>
  </si>
  <si>
    <t>PCTILE70_hr10</t>
  </si>
  <si>
    <t>PCTILE70_hr11</t>
  </si>
  <si>
    <t>PCTILE70_hr12</t>
  </si>
  <si>
    <t>PCTILE70_hr13</t>
  </si>
  <si>
    <t>PCTILE70_hr14</t>
  </si>
  <si>
    <t>PCTILE70_hr15</t>
  </si>
  <si>
    <t>PCTILE70_hr16</t>
  </si>
  <si>
    <t>PCTILE70_hr17</t>
  </si>
  <si>
    <t>PCTILE70_hr18</t>
  </si>
  <si>
    <t>PCTILE70_hr19</t>
  </si>
  <si>
    <t>PCTILE70_hr20</t>
  </si>
  <si>
    <t>PCTILE70_hr21</t>
  </si>
  <si>
    <t>PCTILE70_hr22</t>
  </si>
  <si>
    <t>PCTILE70_hr23</t>
  </si>
  <si>
    <t>PCTILE70_hr24</t>
  </si>
  <si>
    <t>PCTILE90_hr1</t>
  </si>
  <si>
    <t>PCTILE90_hr2</t>
  </si>
  <si>
    <t>PCTILE90_hr3</t>
  </si>
  <si>
    <t>PCTILE90_hr4</t>
  </si>
  <si>
    <t>PCTILE90_hr5</t>
  </si>
  <si>
    <t>PCTILE90_hr6</t>
  </si>
  <si>
    <t>PCTILE90_hr7</t>
  </si>
  <si>
    <t>PCTILE90_hr8</t>
  </si>
  <si>
    <t>PCTILE90_hr9</t>
  </si>
  <si>
    <t>PCTILE90_hr10</t>
  </si>
  <si>
    <t>PCTILE90_hr11</t>
  </si>
  <si>
    <t>PCTILE90_hr12</t>
  </si>
  <si>
    <t>PCTILE90_hr13</t>
  </si>
  <si>
    <t>PCTILE90_hr14</t>
  </si>
  <si>
    <t>PCTILE90_hr15</t>
  </si>
  <si>
    <t>PCTILE90_hr16</t>
  </si>
  <si>
    <t>PCTILE90_hr17</t>
  </si>
  <si>
    <t>PCTILE90_hr18</t>
  </si>
  <si>
    <t>PCTILE90_hr19</t>
  </si>
  <si>
    <t>PCTILE90_hr20</t>
  </si>
  <si>
    <t>PCTILE90_hr21</t>
  </si>
  <si>
    <t>PCTILE90_hr22</t>
  </si>
  <si>
    <t>PCTILE90_hr23</t>
  </si>
  <si>
    <t>PCTILE90_hr24</t>
  </si>
  <si>
    <t>temp_hr1</t>
  </si>
  <si>
    <t>temp_hr2</t>
  </si>
  <si>
    <t>temp_hr3</t>
  </si>
  <si>
    <t>temp_hr4</t>
  </si>
  <si>
    <t>temp_hr5</t>
  </si>
  <si>
    <t>temp_hr6</t>
  </si>
  <si>
    <t>temp_hr7</t>
  </si>
  <si>
    <t>temp_hr8</t>
  </si>
  <si>
    <t>temp_hr9</t>
  </si>
  <si>
    <t>temp_hr10</t>
  </si>
  <si>
    <t>temp_hr11</t>
  </si>
  <si>
    <t>temp_hr12</t>
  </si>
  <si>
    <t>temp_hr13</t>
  </si>
  <si>
    <t>temp_hr14</t>
  </si>
  <si>
    <t>temp_hr15</t>
  </si>
  <si>
    <t>temp_hr16</t>
  </si>
  <si>
    <t>temp_hr17</t>
  </si>
  <si>
    <t>temp_hr18</t>
  </si>
  <si>
    <t>temp_hr19</t>
  </si>
  <si>
    <t>temp_hr20</t>
  </si>
  <si>
    <t>temp_hr21</t>
  </si>
  <si>
    <t>temp_hr22</t>
  </si>
  <si>
    <t>temp_hr23</t>
  </si>
  <si>
    <t>temp_hr24</t>
  </si>
  <si>
    <r>
      <t>Weighted Average Temperature (</t>
    </r>
    <r>
      <rPr>
        <b/>
        <vertAlign val="superscript"/>
        <sz val="11"/>
        <color indexed="9"/>
        <rFont val="Arial Narrow"/>
        <family val="2"/>
      </rPr>
      <t>o</t>
    </r>
    <r>
      <rPr>
        <b/>
        <sz val="11"/>
        <color indexed="9"/>
        <rFont val="Arial Narrow"/>
        <family val="2"/>
      </rPr>
      <t>F)</t>
    </r>
  </si>
  <si>
    <t>Ref_hr1</t>
  </si>
  <si>
    <t>Ref_hr2</t>
  </si>
  <si>
    <t>Ref_hr3</t>
  </si>
  <si>
    <t>Ref_hr4</t>
  </si>
  <si>
    <t>Ref_hr5</t>
  </si>
  <si>
    <t>Ref_hr6</t>
  </si>
  <si>
    <t>Ref_hr7</t>
  </si>
  <si>
    <t>Ref_hr8</t>
  </si>
  <si>
    <t>Ref_hr9</t>
  </si>
  <si>
    <t>Ref_hr10</t>
  </si>
  <si>
    <t>Ref_hr11</t>
  </si>
  <si>
    <t>Ref_hr12</t>
  </si>
  <si>
    <t>Ref_hr13</t>
  </si>
  <si>
    <t>Ref_hr14</t>
  </si>
  <si>
    <t>Ref_hr15</t>
  </si>
  <si>
    <t>Ref_hr16</t>
  </si>
  <si>
    <t>Ref_hr17</t>
  </si>
  <si>
    <t>Ref_hr18</t>
  </si>
  <si>
    <t>Ref_hr19</t>
  </si>
  <si>
    <t>Ref_hr20</t>
  </si>
  <si>
    <t>Ref_hr21</t>
  </si>
  <si>
    <t>Ref_hr22</t>
  </si>
  <si>
    <t>Ref_hr23</t>
  </si>
  <si>
    <t>Ref_hr24</t>
  </si>
  <si>
    <r>
      <t>Cooling
Degree
Hours
(Base 75</t>
    </r>
    <r>
      <rPr>
        <b/>
        <vertAlign val="superscript"/>
        <sz val="11"/>
        <color indexed="9"/>
        <rFont val="Arial Narrow"/>
        <family val="2"/>
      </rPr>
      <t xml:space="preserve">o </t>
    </r>
    <r>
      <rPr>
        <b/>
        <sz val="11"/>
        <color indexed="9"/>
        <rFont val="Arial Narrow"/>
        <family val="2"/>
      </rPr>
      <t>F)</t>
    </r>
  </si>
  <si>
    <t>cdh calcs</t>
  </si>
  <si>
    <t>Agriculture, Mining &amp; Construction</t>
  </si>
  <si>
    <t>Institutional/Government</t>
  </si>
  <si>
    <t>Manufacturing</t>
  </si>
  <si>
    <t>Offices, Hotels, Finance, Services</t>
  </si>
  <si>
    <t>Retail stores</t>
  </si>
  <si>
    <t>Schools</t>
  </si>
  <si>
    <t>Wholesale, Transport, other utilities</t>
  </si>
  <si>
    <t>lca</t>
  </si>
  <si>
    <t>No</t>
  </si>
  <si>
    <t>Yes</t>
  </si>
  <si>
    <t>date</t>
  </si>
  <si>
    <t>Date</t>
  </si>
  <si>
    <t>Industry</t>
  </si>
  <si>
    <t>Dual Enrolled</t>
  </si>
  <si>
    <t>Results Type</t>
  </si>
  <si>
    <t>Average per Called Customer</t>
  </si>
  <si>
    <t>Two-way tab flag</t>
  </si>
  <si>
    <t>product</t>
  </si>
  <si>
    <t>evt_start</t>
  </si>
  <si>
    <t>evt_end</t>
  </si>
  <si>
    <t>Event Hours</t>
  </si>
  <si>
    <t>By Period:</t>
  </si>
  <si>
    <t>Event Hours:</t>
  </si>
  <si>
    <t>avg ref</t>
  </si>
  <si>
    <t>avg obs</t>
  </si>
  <si>
    <t>avg LI</t>
  </si>
  <si>
    <t>avg 10</t>
  </si>
  <si>
    <t>avg30</t>
  </si>
  <si>
    <t>avg50</t>
  </si>
  <si>
    <t>avg70</t>
  </si>
  <si>
    <t>avg90</t>
  </si>
  <si>
    <t>CDH</t>
  </si>
  <si>
    <t>Avg evt hours</t>
  </si>
  <si>
    <t>Event flag</t>
  </si>
  <si>
    <t>std dev</t>
  </si>
  <si>
    <t>enrolled</t>
  </si>
  <si>
    <t xml:space="preserve"> Number of Accounts Enrolled:</t>
  </si>
  <si>
    <t>Enrollment</t>
  </si>
  <si>
    <t>LA Basin</t>
  </si>
  <si>
    <t>Outside Basin</t>
  </si>
  <si>
    <t>Ventura</t>
  </si>
  <si>
    <t>Southern California Edison</t>
  </si>
  <si>
    <t>Average Event Hour % Load Impact:</t>
  </si>
  <si>
    <t>Bid</t>
  </si>
  <si>
    <t>Base Interruptible Program (BIP)</t>
  </si>
  <si>
    <t>Number of Accounts Called:</t>
  </si>
  <si>
    <t>fsl</t>
  </si>
  <si>
    <t>SD LI</t>
  </si>
  <si>
    <t>Use it</t>
  </si>
  <si>
    <t>called</t>
  </si>
  <si>
    <t>_pass</t>
  </si>
  <si>
    <t>w/ result type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</si>
</sst>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[$-409]mmmm\ d\,\ yyyy;@"/>
    <numFmt numFmtId="166" formatCode="0.0%"/>
    <numFmt numFmtId="167" formatCode="0.0"/>
  </numFmts>
  <fonts count="1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1"/>
      <color indexed="8"/>
      <name val="Calibri"/>
      <family val="2"/>
    </font>
    <font>
      <b/>
      <sz val="11"/>
      <name val="Arial"/>
      <family val="2"/>
    </font>
    <font>
      <b/>
      <sz val="11"/>
      <color indexed="9"/>
      <name val="Arial Narrow"/>
      <family val="2"/>
    </font>
    <font>
      <b/>
      <sz val="10"/>
      <color indexed="9"/>
      <name val="Franklin Gothic Demi Cond"/>
      <family val="2"/>
    </font>
    <font>
      <sz val="10"/>
      <color indexed="9"/>
      <name val="Arial"/>
      <family val="2"/>
    </font>
    <font>
      <b/>
      <sz val="10"/>
      <name val="Arial"/>
      <family val="2"/>
    </font>
    <font>
      <b/>
      <sz val="10"/>
      <name val="Arial Narrow"/>
      <family val="2"/>
    </font>
    <font>
      <b/>
      <sz val="10"/>
      <color indexed="9"/>
      <name val="Arial Narrow"/>
      <family val="2"/>
    </font>
    <font>
      <sz val="11"/>
      <name val="Arial Narrow"/>
      <family val="2"/>
    </font>
    <font>
      <sz val="10"/>
      <name val="Arial Narrow"/>
      <family val="2"/>
    </font>
    <font>
      <sz val="11"/>
      <color indexed="9"/>
      <name val="Arial"/>
      <family val="2"/>
    </font>
    <font>
      <sz val="10"/>
      <color indexed="9"/>
      <name val="Franklin Gothic Demi Cond"/>
      <family val="2"/>
    </font>
    <font>
      <b/>
      <vertAlign val="superscript"/>
      <sz val="11"/>
      <color indexed="9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/>
      <diagonal/>
    </border>
    <border>
      <left style="medium">
        <color indexed="9"/>
      </left>
      <right style="medium">
        <color indexed="56"/>
      </right>
      <top style="medium">
        <color indexed="9"/>
      </top>
      <bottom/>
      <diagonal/>
    </border>
    <border>
      <left style="medium">
        <color indexed="56"/>
      </left>
      <right style="medium">
        <color indexed="9"/>
      </right>
      <top/>
      <bottom/>
      <diagonal/>
    </border>
    <border>
      <left style="medium">
        <color indexed="9"/>
      </left>
      <right style="medium">
        <color indexed="9"/>
      </right>
      <top/>
      <bottom style="medium">
        <color indexed="9"/>
      </bottom>
      <diagonal/>
    </border>
    <border>
      <left style="medium">
        <color indexed="9"/>
      </left>
      <right style="medium">
        <color indexed="56"/>
      </right>
      <top/>
      <bottom style="medium">
        <color indexed="9"/>
      </bottom>
      <diagonal/>
    </border>
    <border>
      <left style="medium">
        <color indexed="56"/>
      </left>
      <right/>
      <top/>
      <bottom style="medium">
        <color indexed="56"/>
      </bottom>
      <diagonal/>
    </border>
    <border>
      <left style="medium">
        <color indexed="56"/>
      </left>
      <right style="thin">
        <color indexed="56"/>
      </right>
      <top/>
      <bottom style="medium">
        <color indexed="56"/>
      </bottom>
      <diagonal/>
    </border>
    <border>
      <left style="thin">
        <color indexed="56"/>
      </left>
      <right style="thin">
        <color indexed="56"/>
      </right>
      <top/>
      <bottom style="medium">
        <color indexed="56"/>
      </bottom>
      <diagonal/>
    </border>
    <border>
      <left style="medium">
        <color indexed="9"/>
      </left>
      <right/>
      <top style="medium">
        <color indexed="56"/>
      </top>
      <bottom/>
      <diagonal/>
    </border>
    <border>
      <left/>
      <right/>
      <top style="medium">
        <color indexed="56"/>
      </top>
      <bottom/>
      <diagonal/>
    </border>
    <border>
      <left/>
      <right style="medium">
        <color indexed="56"/>
      </right>
      <top style="medium">
        <color indexed="56"/>
      </top>
      <bottom/>
      <diagonal/>
    </border>
    <border>
      <left style="medium">
        <color indexed="9"/>
      </left>
      <right/>
      <top/>
      <bottom style="medium">
        <color indexed="9"/>
      </bottom>
      <diagonal/>
    </border>
    <border>
      <left/>
      <right/>
      <top/>
      <bottom style="medium">
        <color indexed="9"/>
      </bottom>
      <diagonal/>
    </border>
    <border>
      <left/>
      <right style="medium">
        <color indexed="56"/>
      </right>
      <top/>
      <bottom style="medium">
        <color indexed="9"/>
      </bottom>
      <diagonal/>
    </border>
    <border>
      <left style="medium">
        <color indexed="56"/>
      </left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56"/>
      </left>
      <right style="medium">
        <color indexed="9"/>
      </right>
      <top style="medium">
        <color indexed="56"/>
      </top>
      <bottom style="medium">
        <color indexed="9"/>
      </bottom>
      <diagonal/>
    </border>
    <border>
      <left style="medium">
        <color indexed="56"/>
      </left>
      <right style="medium">
        <color indexed="9"/>
      </right>
      <top style="medium">
        <color indexed="9"/>
      </top>
      <bottom/>
      <diagonal/>
    </border>
    <border>
      <left style="medium">
        <color indexed="56"/>
      </left>
      <right style="medium">
        <color indexed="56"/>
      </right>
      <top/>
      <bottom style="thin">
        <color indexed="56"/>
      </bottom>
      <diagonal/>
    </border>
    <border>
      <left style="thin">
        <color indexed="56"/>
      </left>
      <right style="medium">
        <color indexed="56"/>
      </right>
      <top/>
      <bottom style="medium">
        <color indexed="56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0">
    <xf numFmtId="0" fontId="0" fillId="0" borderId="0" xfId="0"/>
    <xf numFmtId="0" fontId="0" fillId="0" borderId="0" xfId="0" quotePrefix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right"/>
    </xf>
    <xf numFmtId="0" fontId="4" fillId="0" borderId="0" xfId="0" quotePrefix="1" applyFont="1" applyAlignment="1">
      <alignment horizontal="right"/>
    </xf>
    <xf numFmtId="0" fontId="0" fillId="0" borderId="0" xfId="0" applyAlignment="1">
      <alignment horizontal="left"/>
    </xf>
    <xf numFmtId="0" fontId="0" fillId="0" borderId="0" xfId="0" applyFill="1"/>
    <xf numFmtId="0" fontId="9" fillId="0" borderId="1" xfId="0" applyNumberFormat="1" applyFont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right" wrapText="1" indent="1"/>
    </xf>
    <xf numFmtId="0" fontId="10" fillId="2" borderId="3" xfId="0" applyFont="1" applyFill="1" applyBorder="1" applyAlignment="1">
      <alignment horizontal="right" wrapText="1" indent="1"/>
    </xf>
    <xf numFmtId="49" fontId="9" fillId="0" borderId="0" xfId="0" applyNumberFormat="1" applyFont="1" applyBorder="1" applyAlignment="1">
      <alignment horizontal="left" wrapText="1"/>
    </xf>
    <xf numFmtId="0" fontId="8" fillId="0" borderId="0" xfId="0" applyFont="1"/>
    <xf numFmtId="0" fontId="12" fillId="0" borderId="0" xfId="0" applyFont="1" applyBorder="1" applyAlignment="1">
      <alignment horizontal="left"/>
    </xf>
    <xf numFmtId="165" fontId="9" fillId="0" borderId="1" xfId="0" applyNumberFormat="1" applyFont="1" applyFill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49" fontId="9" fillId="0" borderId="0" xfId="0" applyNumberFormat="1" applyFont="1" applyBorder="1" applyAlignment="1">
      <alignment horizontal="left"/>
    </xf>
    <xf numFmtId="0" fontId="8" fillId="0" borderId="0" xfId="0" applyFont="1" applyFill="1" applyBorder="1"/>
    <xf numFmtId="0" fontId="13" fillId="2" borderId="4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4" fillId="0" borderId="7" xfId="0" applyFont="1" applyBorder="1" applyAlignment="1">
      <alignment horizontal="center"/>
    </xf>
    <xf numFmtId="3" fontId="11" fillId="0" borderId="8" xfId="0" applyNumberFormat="1" applyFont="1" applyBorder="1" applyAlignment="1">
      <alignment horizontal="center"/>
    </xf>
    <xf numFmtId="3" fontId="11" fillId="0" borderId="9" xfId="0" applyNumberFormat="1" applyFont="1" applyBorder="1" applyAlignment="1">
      <alignment horizontal="center"/>
    </xf>
    <xf numFmtId="164" fontId="11" fillId="0" borderId="9" xfId="0" applyNumberFormat="1" applyFont="1" applyBorder="1" applyAlignment="1">
      <alignment horizontal="center"/>
    </xf>
    <xf numFmtId="3" fontId="0" fillId="0" borderId="0" xfId="0" applyNumberFormat="1"/>
    <xf numFmtId="0" fontId="14" fillId="2" borderId="0" xfId="0" applyFont="1" applyFill="1" applyAlignment="1">
      <alignment horizontal="left"/>
    </xf>
    <xf numFmtId="0" fontId="14" fillId="0" borderId="0" xfId="0" applyFont="1" applyFill="1" applyBorder="1" applyAlignment="1">
      <alignment horizontal="left"/>
    </xf>
    <xf numFmtId="0" fontId="14" fillId="0" borderId="0" xfId="0" quotePrefix="1" applyFont="1" applyFill="1" applyBorder="1" applyAlignment="1">
      <alignment horizontal="left"/>
    </xf>
    <xf numFmtId="0" fontId="0" fillId="0" borderId="0" xfId="0" applyFill="1" applyBorder="1"/>
    <xf numFmtId="0" fontId="0" fillId="0" borderId="0" xfId="0" applyFill="1" applyBorder="1" applyAlignment="1">
      <alignment horizontal="left"/>
    </xf>
    <xf numFmtId="0" fontId="6" fillId="2" borderId="10" xfId="0" applyFont="1" applyFill="1" applyBorder="1" applyAlignment="1">
      <alignment horizontal="centerContinuous"/>
    </xf>
    <xf numFmtId="0" fontId="7" fillId="2" borderId="11" xfId="0" applyFont="1" applyFill="1" applyBorder="1" applyAlignment="1">
      <alignment horizontal="centerContinuous"/>
    </xf>
    <xf numFmtId="0" fontId="7" fillId="2" borderId="12" xfId="0" applyFont="1" applyFill="1" applyBorder="1" applyAlignment="1">
      <alignment horizontal="centerContinuous"/>
    </xf>
    <xf numFmtId="0" fontId="0" fillId="0" borderId="0" xfId="0" applyBorder="1"/>
    <xf numFmtId="49" fontId="9" fillId="0" borderId="1" xfId="0" quotePrefix="1" applyNumberFormat="1" applyFont="1" applyFill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/>
    </xf>
    <xf numFmtId="0" fontId="8" fillId="0" borderId="0" xfId="0" quotePrefix="1" applyFont="1" applyFill="1" applyAlignment="1">
      <alignment horizontal="left" vertical="center"/>
    </xf>
    <xf numFmtId="0" fontId="8" fillId="0" borderId="0" xfId="0" applyFont="1" applyFill="1" applyAlignment="1">
      <alignment vertical="center"/>
    </xf>
    <xf numFmtId="3" fontId="0" fillId="0" borderId="17" xfId="0" applyNumberFormat="1" applyBorder="1" applyAlignment="1">
      <alignment horizontal="center" vertical="center"/>
    </xf>
    <xf numFmtId="164" fontId="0" fillId="0" borderId="0" xfId="0" applyNumberFormat="1"/>
    <xf numFmtId="166" fontId="0" fillId="0" borderId="0" xfId="1" applyNumberFormat="1" applyFont="1"/>
    <xf numFmtId="0" fontId="1" fillId="0" borderId="0" xfId="0" applyFont="1"/>
    <xf numFmtId="0" fontId="1" fillId="0" borderId="0" xfId="0" quotePrefix="1" applyFont="1" applyFill="1" applyBorder="1" applyAlignment="1">
      <alignment horizontal="left"/>
    </xf>
    <xf numFmtId="164" fontId="4" fillId="0" borderId="0" xfId="0" applyNumberFormat="1" applyFont="1" applyBorder="1" applyAlignment="1">
      <alignment horizontal="right" vertical="center"/>
    </xf>
    <xf numFmtId="166" fontId="4" fillId="0" borderId="0" xfId="1" applyNumberFormat="1" applyFont="1" applyBorder="1" applyAlignment="1">
      <alignment horizontal="right"/>
    </xf>
    <xf numFmtId="164" fontId="4" fillId="0" borderId="0" xfId="0" applyNumberFormat="1" applyFont="1" applyBorder="1" applyAlignment="1">
      <alignment horizontal="left" vertical="center"/>
    </xf>
    <xf numFmtId="0" fontId="1" fillId="0" borderId="0" xfId="0" applyFont="1" applyAlignment="1">
      <alignment horizontal="right"/>
    </xf>
    <xf numFmtId="167" fontId="0" fillId="0" borderId="0" xfId="0" applyNumberFormat="1"/>
    <xf numFmtId="0" fontId="8" fillId="0" borderId="0" xfId="0" applyFont="1" applyFill="1" applyBorder="1" applyAlignment="1">
      <alignment horizontal="left" vertical="center"/>
    </xf>
    <xf numFmtId="164" fontId="11" fillId="0" borderId="20" xfId="0" applyNumberFormat="1" applyFont="1" applyBorder="1" applyAlignment="1">
      <alignment horizontal="center" vertical="center"/>
    </xf>
    <xf numFmtId="0" fontId="5" fillId="2" borderId="13" xfId="0" applyFont="1" applyFill="1" applyBorder="1" applyAlignment="1">
      <alignment horizontal="centerContinuous"/>
    </xf>
    <xf numFmtId="0" fontId="5" fillId="2" borderId="14" xfId="0" applyFont="1" applyFill="1" applyBorder="1" applyAlignment="1">
      <alignment horizontal="centerContinuous"/>
    </xf>
    <xf numFmtId="0" fontId="5" fillId="2" borderId="15" xfId="0" applyFont="1" applyFill="1" applyBorder="1" applyAlignment="1">
      <alignment horizontal="centerContinuous"/>
    </xf>
    <xf numFmtId="0" fontId="5" fillId="2" borderId="5" xfId="0" applyFont="1" applyFill="1" applyBorder="1" applyAlignment="1">
      <alignment horizontal="centerContinuous"/>
    </xf>
    <xf numFmtId="0" fontId="5" fillId="2" borderId="6" xfId="0" applyFont="1" applyFill="1" applyBorder="1" applyAlignment="1">
      <alignment horizontal="centerContinuous"/>
    </xf>
    <xf numFmtId="11" fontId="0" fillId="0" borderId="0" xfId="0" applyNumberFormat="1"/>
    <xf numFmtId="15" fontId="0" fillId="0" borderId="0" xfId="0" applyNumberFormat="1"/>
    <xf numFmtId="0" fontId="0" fillId="0" borderId="0" xfId="0" quotePrefix="1" applyBorder="1" applyAlignment="1">
      <alignment horizontal="right"/>
    </xf>
    <xf numFmtId="0" fontId="5" fillId="2" borderId="4" xfId="0" applyFont="1" applyFill="1" applyBorder="1" applyAlignment="1">
      <alignment horizontal="center"/>
    </xf>
    <xf numFmtId="0" fontId="4" fillId="0" borderId="0" xfId="0" quotePrefix="1" applyFont="1" applyAlignment="1">
      <alignment horizontal="left"/>
    </xf>
    <xf numFmtId="164" fontId="11" fillId="0" borderId="8" xfId="0" applyNumberFormat="1" applyFont="1" applyBorder="1" applyAlignment="1">
      <alignment horizontal="center"/>
    </xf>
    <xf numFmtId="164" fontId="11" fillId="0" borderId="21" xfId="0" applyNumberFormat="1" applyFont="1" applyBorder="1" applyAlignment="1">
      <alignment horizontal="center"/>
    </xf>
    <xf numFmtId="0" fontId="0" fillId="3" borderId="0" xfId="0" applyFill="1"/>
    <xf numFmtId="14" fontId="0" fillId="0" borderId="0" xfId="0" applyNumberFormat="1"/>
    <xf numFmtId="0" fontId="14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165" fontId="9" fillId="0" borderId="0" xfId="0" applyNumberFormat="1" applyFont="1" applyFill="1" applyBorder="1" applyAlignment="1">
      <alignment horizontal="center" vertical="center"/>
    </xf>
    <xf numFmtId="2" fontId="9" fillId="0" borderId="1" xfId="0" applyNumberFormat="1" applyFont="1" applyFill="1" applyBorder="1" applyAlignment="1">
      <alignment horizontal="center" vertical="center"/>
    </xf>
    <xf numFmtId="15" fontId="1" fillId="0" borderId="0" xfId="0" applyNumberFormat="1" applyFont="1" applyFill="1" applyBorder="1" applyAlignment="1">
      <alignment horizontal="left"/>
    </xf>
    <xf numFmtId="164" fontId="4" fillId="0" borderId="0" xfId="0" applyNumberFormat="1" applyFont="1" applyAlignment="1">
      <alignment horizontal="right"/>
    </xf>
    <xf numFmtId="166" fontId="4" fillId="0" borderId="0" xfId="1" applyNumberFormat="1" applyFont="1" applyAlignment="1">
      <alignment horizontal="center"/>
    </xf>
    <xf numFmtId="167" fontId="4" fillId="0" borderId="0" xfId="0" applyNumberFormat="1" applyFont="1" applyAlignment="1">
      <alignment horizontal="right"/>
    </xf>
    <xf numFmtId="0" fontId="1" fillId="0" borderId="0" xfId="0" quotePrefix="1" applyFont="1" applyAlignment="1">
      <alignment horizontal="left"/>
    </xf>
    <xf numFmtId="2" fontId="5" fillId="2" borderId="5" xfId="0" applyNumberFormat="1" applyFont="1" applyFill="1" applyBorder="1" applyAlignment="1">
      <alignment horizontal="center" wrapText="1"/>
    </xf>
    <xf numFmtId="2" fontId="5" fillId="2" borderId="2" xfId="0" applyNumberFormat="1" applyFont="1" applyFill="1" applyBorder="1" applyAlignment="1">
      <alignment horizontal="center" wrapText="1"/>
    </xf>
    <xf numFmtId="2" fontId="5" fillId="2" borderId="5" xfId="0" quotePrefix="1" applyNumberFormat="1" applyFont="1" applyFill="1" applyBorder="1" applyAlignment="1">
      <alignment horizontal="center" wrapText="1"/>
    </xf>
    <xf numFmtId="0" fontId="5" fillId="2" borderId="18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5" fillId="2" borderId="19" xfId="0" applyFont="1" applyFill="1" applyBorder="1" applyAlignment="1">
      <alignment horizontal="center" wrapText="1"/>
    </xf>
    <xf numFmtId="0" fontId="5" fillId="2" borderId="18" xfId="0" quotePrefix="1" applyFont="1" applyFill="1" applyBorder="1" applyAlignment="1">
      <alignment horizontal="center" wrapText="1"/>
    </xf>
  </cellXfs>
  <cellStyles count="2">
    <cellStyle name="Normal" xfId="0" builtinId="0"/>
    <cellStyle name="Percent" xfId="1" builtinId="5"/>
  </cellStyles>
  <dxfs count="4">
    <dxf>
      <fill>
        <patternFill>
          <bgColor theme="3" tint="0.79998168889431442"/>
        </patternFill>
      </fill>
    </dxf>
    <dxf>
      <fill>
        <patternFill>
          <bgColor indexed="43"/>
        </patternFill>
      </fill>
    </dxf>
    <dxf>
      <fill>
        <patternFill>
          <bgColor rgb="FFFFFF00"/>
        </patternFill>
      </fill>
    </dxf>
    <dxf>
      <fill>
        <patternFill>
          <bgColor indexed="43"/>
        </patternFill>
      </fill>
    </dxf>
  </dxfs>
  <tableStyles count="0" defaultTableStyle="TableStyleMedium9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322981366459629"/>
          <c:y val="0.14206642066420663"/>
          <c:w val="0.77018633540372672"/>
          <c:h val="0.7140221402214022"/>
        </c:manualLayout>
      </c:layout>
      <c:scatterChart>
        <c:scatterStyle val="smoothMarker"/>
        <c:varyColors val="0"/>
        <c:ser>
          <c:idx val="2"/>
          <c:order val="0"/>
          <c:tx>
            <c:strRef>
              <c:f>Table!$F$5:$F$7</c:f>
              <c:strCache>
                <c:ptCount val="3"/>
                <c:pt idx="0">
                  <c:v>Estimated Reference Load (MWh/hour)</c:v>
                </c:pt>
              </c:strCache>
            </c:strRef>
          </c:tx>
          <c:spPr>
            <a:ln w="38100">
              <a:solidFill>
                <a:srgbClr val="008080"/>
              </a:solidFill>
              <a:prstDash val="solid"/>
            </a:ln>
          </c:spPr>
          <c:marker>
            <c:symbol val="circle"/>
            <c:size val="4"/>
            <c:spPr>
              <a:solidFill>
                <a:srgbClr val="FFFFFF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xVal>
            <c:numRef>
              <c:f>Table!$E$8:$E$31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xVal>
          <c:yVal>
            <c:numRef>
              <c:f>Table!$F$8:$F$31</c:f>
              <c:numCache>
                <c:formatCode>#,##0.0</c:formatCode>
                <c:ptCount val="24"/>
                <c:pt idx="0">
                  <c:v>707.21810000000005</c:v>
                </c:pt>
                <c:pt idx="1">
                  <c:v>696.15620000000001</c:v>
                </c:pt>
                <c:pt idx="2">
                  <c:v>685.89829999999995</c:v>
                </c:pt>
                <c:pt idx="3">
                  <c:v>686.13940000000002</c:v>
                </c:pt>
                <c:pt idx="4">
                  <c:v>712.87350000000004</c:v>
                </c:pt>
                <c:pt idx="5">
                  <c:v>741.37900000000002</c:v>
                </c:pt>
                <c:pt idx="6">
                  <c:v>758.74599999999998</c:v>
                </c:pt>
                <c:pt idx="7">
                  <c:v>765.93849999999998</c:v>
                </c:pt>
                <c:pt idx="8">
                  <c:v>776.43290000000002</c:v>
                </c:pt>
                <c:pt idx="9">
                  <c:v>773.53309999999999</c:v>
                </c:pt>
                <c:pt idx="10">
                  <c:v>777.26229999999998</c:v>
                </c:pt>
                <c:pt idx="11">
                  <c:v>775.34839999999997</c:v>
                </c:pt>
                <c:pt idx="12">
                  <c:v>770.03610000000003</c:v>
                </c:pt>
                <c:pt idx="13">
                  <c:v>759.09280000000001</c:v>
                </c:pt>
                <c:pt idx="14">
                  <c:v>754.73140000000001</c:v>
                </c:pt>
                <c:pt idx="15">
                  <c:v>742.19069999999999</c:v>
                </c:pt>
                <c:pt idx="16">
                  <c:v>744.90859999999998</c:v>
                </c:pt>
                <c:pt idx="17">
                  <c:v>763.13149999999996</c:v>
                </c:pt>
                <c:pt idx="18">
                  <c:v>770.02049999999997</c:v>
                </c:pt>
                <c:pt idx="19">
                  <c:v>767.12040000000002</c:v>
                </c:pt>
                <c:pt idx="20">
                  <c:v>766.56679999999994</c:v>
                </c:pt>
                <c:pt idx="21">
                  <c:v>756.12739999999997</c:v>
                </c:pt>
                <c:pt idx="22">
                  <c:v>754.76559999999995</c:v>
                </c:pt>
                <c:pt idx="23">
                  <c:v>752.45619999999997</c:v>
                </c:pt>
              </c:numCache>
            </c:numRef>
          </c:yVal>
          <c:smooth val="1"/>
        </c:ser>
        <c:ser>
          <c:idx val="0"/>
          <c:order val="1"/>
          <c:tx>
            <c:strRef>
              <c:f>Table!$G$5:$G$7</c:f>
              <c:strCache>
                <c:ptCount val="3"/>
                <c:pt idx="0">
                  <c:v>Observed Event Day Load (MWh/hour)</c:v>
                </c:pt>
              </c:strCache>
            </c:strRef>
          </c:tx>
          <c:spPr>
            <a:ln w="25400">
              <a:solidFill>
                <a:srgbClr val="0066CC"/>
              </a:solidFill>
              <a:prstDash val="solid"/>
            </a:ln>
          </c:spPr>
          <c:marker>
            <c:symbol val="none"/>
          </c:marker>
          <c:xVal>
            <c:numRef>
              <c:f>Table!$E$8:$E$31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xVal>
          <c:yVal>
            <c:numRef>
              <c:f>Table!$G$8:$G$31</c:f>
              <c:numCache>
                <c:formatCode>#,##0.0</c:formatCode>
                <c:ptCount val="24"/>
                <c:pt idx="0">
                  <c:v>674.97474</c:v>
                </c:pt>
                <c:pt idx="1">
                  <c:v>679.54732999999999</c:v>
                </c:pt>
                <c:pt idx="2">
                  <c:v>675.6115299999999</c:v>
                </c:pt>
                <c:pt idx="3">
                  <c:v>673.17171000000008</c:v>
                </c:pt>
                <c:pt idx="4">
                  <c:v>702.35145</c:v>
                </c:pt>
                <c:pt idx="5">
                  <c:v>726.06396000000007</c:v>
                </c:pt>
                <c:pt idx="6">
                  <c:v>751.52302799999995</c:v>
                </c:pt>
                <c:pt idx="7">
                  <c:v>769.53083600000002</c:v>
                </c:pt>
                <c:pt idx="8">
                  <c:v>787.29537000000005</c:v>
                </c:pt>
                <c:pt idx="9">
                  <c:v>780.21614699999998</c:v>
                </c:pt>
                <c:pt idx="10">
                  <c:v>773.24431600000003</c:v>
                </c:pt>
                <c:pt idx="11">
                  <c:v>777.26123499999994</c:v>
                </c:pt>
                <c:pt idx="12">
                  <c:v>765.52661599999999</c:v>
                </c:pt>
                <c:pt idx="13">
                  <c:v>759.75749250000001</c:v>
                </c:pt>
                <c:pt idx="14">
                  <c:v>525.46</c:v>
                </c:pt>
                <c:pt idx="15">
                  <c:v>142.18139999999994</c:v>
                </c:pt>
                <c:pt idx="16">
                  <c:v>134.29700000000003</c:v>
                </c:pt>
                <c:pt idx="17">
                  <c:v>123.93499999999995</c:v>
                </c:pt>
                <c:pt idx="18">
                  <c:v>124.42129999999997</c:v>
                </c:pt>
                <c:pt idx="19">
                  <c:v>194.2251</c:v>
                </c:pt>
                <c:pt idx="20">
                  <c:v>369.83829999999995</c:v>
                </c:pt>
                <c:pt idx="21">
                  <c:v>468.66909999999996</c:v>
                </c:pt>
                <c:pt idx="22">
                  <c:v>506.11759999999992</c:v>
                </c:pt>
                <c:pt idx="23">
                  <c:v>530.23270000000002</c:v>
                </c:pt>
              </c:numCache>
            </c:numRef>
          </c:yVal>
          <c:smooth val="1"/>
        </c:ser>
        <c:ser>
          <c:idx val="1"/>
          <c:order val="2"/>
          <c:tx>
            <c:strRef>
              <c:f>Table!$I$2</c:f>
              <c:strCache>
                <c:ptCount val="1"/>
                <c:pt idx="0">
                  <c:v>Firm Service Level in MW</c:v>
                </c:pt>
              </c:strCache>
            </c:strRef>
          </c:tx>
          <c:marker>
            <c:symbol val="none"/>
          </c:marker>
          <c:xVal>
            <c:numRef>
              <c:f>(Table!$E$8,Table!$E$31)</c:f>
              <c:numCache>
                <c:formatCode>General</c:formatCode>
                <c:ptCount val="2"/>
                <c:pt idx="0">
                  <c:v>1</c:v>
                </c:pt>
                <c:pt idx="1">
                  <c:v>24</c:v>
                </c:pt>
              </c:numCache>
            </c:numRef>
          </c:xVal>
          <c:yVal>
            <c:numRef>
              <c:f>(Table!$J$2,Table!$J$2)</c:f>
              <c:numCache>
                <c:formatCode>0.0</c:formatCode>
                <c:ptCount val="2"/>
                <c:pt idx="0">
                  <c:v>82.658000000000001</c:v>
                </c:pt>
                <c:pt idx="1">
                  <c:v>82.658000000000001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5220368"/>
        <c:axId val="365219248"/>
      </c:scatterChart>
      <c:valAx>
        <c:axId val="365220368"/>
        <c:scaling>
          <c:orientation val="minMax"/>
          <c:max val="24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050" b="1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n-US" sz="1050" b="1">
                    <a:latin typeface="Arial" panose="020B0604020202020204" pitchFamily="34" charset="0"/>
                    <a:cs typeface="Arial" panose="020B0604020202020204" pitchFamily="34" charset="0"/>
                  </a:rPr>
                  <a:t>Hour Ending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ln w="254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Franklin Gothic Demi Cond"/>
                <a:cs typeface="Arial" panose="020B0604020202020204" pitchFamily="34" charset="0"/>
              </a:defRPr>
            </a:pPr>
            <a:endParaRPr lang="en-US"/>
          </a:p>
        </c:txPr>
        <c:crossAx val="365219248"/>
        <c:crosses val="autoZero"/>
        <c:crossBetween val="midCat"/>
        <c:majorUnit val="1"/>
      </c:valAx>
      <c:valAx>
        <c:axId val="365219248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50" b="1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n-US" sz="1100" b="1">
                    <a:latin typeface="Arial" panose="020B0604020202020204" pitchFamily="34" charset="0"/>
                    <a:cs typeface="Arial" panose="020B0604020202020204" pitchFamily="34" charset="0"/>
                  </a:rPr>
                  <a:t>Load</a:t>
                </a:r>
              </a:p>
            </c:rich>
          </c:tx>
          <c:layout/>
          <c:overlay val="0"/>
        </c:title>
        <c:numFmt formatCode="#,##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Franklin Gothic Demi Cond"/>
                <a:cs typeface="Arial" panose="020B0604020202020204" pitchFamily="34" charset="0"/>
              </a:defRPr>
            </a:pPr>
            <a:endParaRPr lang="en-US"/>
          </a:p>
        </c:txPr>
        <c:crossAx val="365220368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709447692782615"/>
          <c:y val="1.6442160486542699E-2"/>
          <c:w val="0.67878085505175567"/>
          <c:h val="0.11567704690948924"/>
        </c:manualLayout>
      </c:layout>
      <c:overlay val="0"/>
      <c:spPr>
        <a:solidFill>
          <a:srgbClr val="FFFFFF"/>
        </a:solidFill>
        <a:ln w="3175">
          <a:solidFill>
            <a:srgbClr val="969696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Franklin Gothic Demi Cond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C0C0C0"/>
    </a:solidFill>
    <a:ln w="3175">
      <a:solidFill>
        <a:srgbClr val="969696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</xdr:row>
      <xdr:rowOff>22411</xdr:rowOff>
    </xdr:from>
    <xdr:to>
      <xdr:col>3</xdr:col>
      <xdr:colOff>628650</xdr:colOff>
      <xdr:row>34</xdr:row>
      <xdr:rowOff>175933</xdr:rowOff>
    </xdr:to>
    <xdr:graphicFrame macro="">
      <xdr:nvGraphicFramePr>
        <xdr:cNvPr id="110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queryTables/queryTable1.xml><?xml version="1.0" encoding="utf-8"?>
<queryTable xmlns="http://schemas.openxmlformats.org/spreadsheetml/2006/main" name="table_for_PGE CBP_expost_private" growShrinkType="overwriteClear" connectionId="1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0"/>
  <sheetViews>
    <sheetView tabSelected="1" zoomScale="85" zoomScaleNormal="85" workbookViewId="0">
      <selection activeCell="B4" sqref="B4"/>
    </sheetView>
  </sheetViews>
  <sheetFormatPr defaultRowHeight="12.75" x14ac:dyDescent="0.2"/>
  <cols>
    <col min="1" max="1" width="27" bestFit="1" customWidth="1"/>
    <col min="2" max="2" width="31.5703125" customWidth="1"/>
    <col min="3" max="3" width="24" customWidth="1"/>
    <col min="4" max="4" width="10.28515625" customWidth="1"/>
    <col min="5" max="5" width="17.85546875" customWidth="1"/>
    <col min="6" max="6" width="16.140625" customWidth="1"/>
    <col min="7" max="7" width="13.28515625" customWidth="1"/>
    <col min="8" max="8" width="13" customWidth="1"/>
    <col min="9" max="9" width="15.5703125" customWidth="1"/>
    <col min="10" max="14" width="11.42578125" customWidth="1"/>
    <col min="16" max="16" width="9.140625" customWidth="1"/>
  </cols>
  <sheetData>
    <row r="1" spans="1:14" ht="17.25" customHeight="1" thickBot="1" x14ac:dyDescent="0.3">
      <c r="A1" s="2" t="str">
        <f>IF(DGET(data,"_pass",_xlnm.Criteria)=1,"","Results omitted due to confidentiality concerns.")</f>
        <v/>
      </c>
      <c r="B1" s="2"/>
      <c r="C1" s="2"/>
      <c r="I1" s="3"/>
      <c r="J1" s="3"/>
      <c r="K1" s="43"/>
      <c r="L1" s="45"/>
    </row>
    <row r="2" spans="1:14" ht="17.25" customHeight="1" thickTop="1" thickBot="1" x14ac:dyDescent="0.3">
      <c r="A2" s="36" t="s">
        <v>19</v>
      </c>
      <c r="B2" s="7" t="s">
        <v>234</v>
      </c>
      <c r="C2" s="5"/>
      <c r="D2" s="5"/>
      <c r="F2" s="4" t="s">
        <v>238</v>
      </c>
      <c r="G2" s="38">
        <f>IF(Two_way_tab_flag=1,"n/a",DGET(data,"called",_xlnm.Criteria))</f>
        <v>620</v>
      </c>
      <c r="I2" s="3" t="str">
        <f>"Firm Service Level in "&amp;IF(Result_type="Aggregate Impact","MW","kW")</f>
        <v>Firm Service Level in MW</v>
      </c>
      <c r="J2" s="71">
        <f>DGET(data,"FSL",_xlnm.Criteria)*IF(Result_type="Aggregate Impact",1,1000/Bid)</f>
        <v>82.658000000000001</v>
      </c>
      <c r="K2" s="43"/>
      <c r="L2" s="45"/>
    </row>
    <row r="3" spans="1:14" ht="17.25" customHeight="1" thickTop="1" thickBot="1" x14ac:dyDescent="0.3">
      <c r="A3" s="37" t="s">
        <v>10</v>
      </c>
      <c r="B3" s="34" t="s">
        <v>237</v>
      </c>
      <c r="C3" s="5"/>
      <c r="D3" s="5"/>
      <c r="F3" s="3" t="s">
        <v>229</v>
      </c>
      <c r="G3" s="38">
        <f>IF(Two_way_tab_flag=1,"n/a",DGET(data,"enrolled",_xlnm.Criteria))</f>
        <v>620</v>
      </c>
      <c r="I3" s="3" t="s">
        <v>215</v>
      </c>
      <c r="J3" s="59" t="str">
        <f>IF(ISNA(VLOOKUP(date,Lookups!$B$11:$F$16,5,FALSE)),"n/a",VLOOKUP(date,Lookups!$B$11:$F$16,5,FALSE))</f>
        <v>Hours Ending 16 to 19</v>
      </c>
      <c r="K3" s="44"/>
    </row>
    <row r="4" spans="1:14" ht="17.25" customHeight="1" thickBot="1" x14ac:dyDescent="0.25">
      <c r="A4" s="36" t="s">
        <v>20</v>
      </c>
      <c r="B4" s="7" t="s">
        <v>3</v>
      </c>
      <c r="C4" s="5"/>
      <c r="D4" s="5"/>
    </row>
    <row r="5" spans="1:14" ht="17.25" customHeight="1" thickBot="1" x14ac:dyDescent="0.3">
      <c r="A5" s="36" t="s">
        <v>21</v>
      </c>
      <c r="B5" s="13" t="s">
        <v>2</v>
      </c>
      <c r="C5" s="5"/>
      <c r="D5" s="5"/>
      <c r="E5" s="76" t="s">
        <v>4</v>
      </c>
      <c r="F5" s="76" t="str">
        <f>"Estimated Reference Load ("&amp;IF(Result_type="Aggregate impact","MWh","kWh")&amp;"/hour)"</f>
        <v>Estimated Reference Load (MWh/hour)</v>
      </c>
      <c r="G5" s="76" t="str">
        <f>"Observed Event Day Load ("&amp;IF(Result_type="Aggregate Impact","MWh/hour)","kWh/hour)")</f>
        <v>Observed Event Day Load (MWh/hour)</v>
      </c>
      <c r="H5" s="76" t="str">
        <f>"Estimated Load Impact ("&amp;IF(Result_type="Aggregate Impact","MWh/hour)","kWh/hour)")</f>
        <v>Estimated Load Impact (MWh/hour)</v>
      </c>
      <c r="I5" s="79" t="s">
        <v>166</v>
      </c>
      <c r="J5" s="30"/>
      <c r="K5" s="31"/>
      <c r="L5" s="31"/>
      <c r="M5" s="31"/>
      <c r="N5" s="32"/>
    </row>
    <row r="6" spans="1:14" ht="17.25" customHeight="1" thickBot="1" x14ac:dyDescent="0.35">
      <c r="C6" s="5"/>
      <c r="D6" s="5"/>
      <c r="E6" s="77"/>
      <c r="F6" s="77"/>
      <c r="G6" s="77"/>
      <c r="H6" s="77"/>
      <c r="I6" s="77"/>
      <c r="J6" s="50" t="str">
        <f>"Uncertainty Adjusted Impact ("&amp;IF(Result_type="Aggregate Impact","MWh/hr)- Percentiles","kWh/hr)- Percentiles")</f>
        <v>Uncertainty Adjusted Impact (MWh/hr)- Percentiles</v>
      </c>
      <c r="K6" s="51"/>
      <c r="L6" s="51"/>
      <c r="M6" s="51"/>
      <c r="N6" s="52"/>
    </row>
    <row r="7" spans="1:14" ht="39" customHeight="1" thickBot="1" x14ac:dyDescent="0.25">
      <c r="C7" s="5"/>
      <c r="D7" s="5"/>
      <c r="E7" s="78"/>
      <c r="F7" s="78"/>
      <c r="G7" s="78"/>
      <c r="H7" s="78"/>
      <c r="I7" s="78"/>
      <c r="J7" s="8" t="s">
        <v>5</v>
      </c>
      <c r="K7" s="8" t="s">
        <v>6</v>
      </c>
      <c r="L7" s="8" t="s">
        <v>7</v>
      </c>
      <c r="M7" s="8" t="s">
        <v>8</v>
      </c>
      <c r="N7" s="9" t="s">
        <v>9</v>
      </c>
    </row>
    <row r="8" spans="1:14" ht="17.25" customHeight="1" thickBot="1" x14ac:dyDescent="0.25">
      <c r="A8" s="37" t="s">
        <v>18</v>
      </c>
      <c r="B8" s="67" t="s">
        <v>1</v>
      </c>
      <c r="C8" s="10"/>
      <c r="D8" s="10"/>
      <c r="E8" s="35">
        <v>1</v>
      </c>
      <c r="F8" s="49">
        <f>IF(Bid=0,"n/a",DGET(data,"Ref_hr1",_xlnm.Criteria)/IF(Result_type="Aggregate Impact",1,Bid/1000))</f>
        <v>707.21810000000005</v>
      </c>
      <c r="G8" s="49">
        <f t="shared" ref="G8:G31" si="0">IF(Bid=0,"n/a",F8-H8)</f>
        <v>674.97474</v>
      </c>
      <c r="H8" s="49">
        <f>IF(Bid=0,"n/a",DGET(data,"Pctile50_hr1",_xlnm.Criteria)/IF(Result_type="Aggregate Impact",1,Bid/1000))</f>
        <v>32.243360000000003</v>
      </c>
      <c r="I8" s="49">
        <f>IF(Bid=0,"n/a",DGET(data,"Temp_hr1",_xlnm.Criteria))</f>
        <v>49.054139999999997</v>
      </c>
      <c r="J8" s="49">
        <f>IF(Bid=0,"n/a",DGET(data,"Pctile10_hr1",_xlnm.Criteria)/IF(Result_type="Aggregate Impact",1,Bid/1000))</f>
        <v>26.44416</v>
      </c>
      <c r="K8" s="49">
        <f>IF(Bid=0,"n/a",DGET(data,"Pctile30_hr1",_xlnm.Criteria)/IF(Result_type="Aggregate Impact",1,Bid/1000))</f>
        <v>29.870370000000001</v>
      </c>
      <c r="L8" s="49">
        <f>H8</f>
        <v>32.243360000000003</v>
      </c>
      <c r="M8" s="49">
        <f>IF(Bid=0,"n/a",DGET(data,"Pctile70_hr1",_xlnm.Criteria)/IF(Result_type="Aggregate Impact",1,Bid/1000))</f>
        <v>34.616340000000001</v>
      </c>
      <c r="N8" s="49">
        <f>IF(Bid=0,"n/a",DGET(data,"Pctile90_hr1",_xlnm.Criteria)/IF(Result_type="Aggregate Impact",1,Bid/1000))</f>
        <v>38.042560000000002</v>
      </c>
    </row>
    <row r="9" spans="1:14" ht="17.25" customHeight="1" x14ac:dyDescent="0.2">
      <c r="C9" s="12"/>
      <c r="D9" s="12"/>
      <c r="E9" s="35">
        <v>2</v>
      </c>
      <c r="F9" s="49">
        <f>IF(Bid=0,"n/a",DGET(data,"Ref_hr2",_xlnm.Criteria)/IF(Result_type="Aggregate Impact",1,Bid/1000))</f>
        <v>696.15620000000001</v>
      </c>
      <c r="G9" s="49">
        <f t="shared" si="0"/>
        <v>679.54732999999999</v>
      </c>
      <c r="H9" s="49">
        <f>IF(Bid=0,"n/a",DGET(data,"Pctile50_hr2",_xlnm.Criteria)/IF(Result_type="Aggregate Impact",1,Bid/1000))</f>
        <v>16.60887</v>
      </c>
      <c r="I9" s="49">
        <f>IF(Bid=0,"n/a",DGET(data,"Temp_hr2",_xlnm.Criteria))</f>
        <v>48.960129999999999</v>
      </c>
      <c r="J9" s="49">
        <f>IF(Bid=0,"n/a",DGET(data,"Pctile10_hr2",_xlnm.Criteria)/IF(Result_type="Aggregate Impact",1,Bid/1000))</f>
        <v>12.00094</v>
      </c>
      <c r="K9" s="49">
        <f>IF(Bid=0,"n/a",DGET(data,"Pctile30_hr2",_xlnm.Criteria)/IF(Result_type="Aggregate Impact",1,Bid/1000))</f>
        <v>14.72334</v>
      </c>
      <c r="L9" s="49">
        <f t="shared" ref="L9:L31" si="1">H9</f>
        <v>16.60887</v>
      </c>
      <c r="M9" s="49">
        <f>IF(Bid=0,"n/a",DGET(data,"Pctile70_hr2",_xlnm.Criteria)/IF(Result_type="Aggregate Impact",1,Bid/1000))</f>
        <v>18.494399999999999</v>
      </c>
      <c r="N9" s="49">
        <f>IF(Bid=0,"n/a",DGET(data,"Pctile90_hr2",_xlnm.Criteria)/IF(Result_type="Aggregate Impact",1,Bid/1000))</f>
        <v>21.216809999999999</v>
      </c>
    </row>
    <row r="10" spans="1:14" ht="17.25" customHeight="1" x14ac:dyDescent="0.2">
      <c r="C10" s="14"/>
      <c r="D10" s="14"/>
      <c r="E10" s="35">
        <v>3</v>
      </c>
      <c r="F10" s="49">
        <f>IF(Bid=0,"n/a",DGET(data,"Ref_hr3",_xlnm.Criteria)/IF(Result_type="Aggregate Impact",1,Bid/1000))</f>
        <v>685.89829999999995</v>
      </c>
      <c r="G10" s="49">
        <f t="shared" si="0"/>
        <v>675.6115299999999</v>
      </c>
      <c r="H10" s="49">
        <f>IF(Bid=0,"n/a",DGET(data,"Pctile50_hr3",_xlnm.Criteria)/IF(Result_type="Aggregate Impact",1,Bid/1000))</f>
        <v>10.286770000000001</v>
      </c>
      <c r="I10" s="49">
        <f>IF(Bid=0,"n/a",DGET(data,"Temp_hr3",_xlnm.Criteria))</f>
        <v>48.816450000000003</v>
      </c>
      <c r="J10" s="49">
        <f>IF(Bid=0,"n/a",DGET(data,"Pctile10_hr3",_xlnm.Criteria)/IF(Result_type="Aggregate Impact",1,Bid/1000))</f>
        <v>5.0064710000000003</v>
      </c>
      <c r="K10" s="49">
        <f>IF(Bid=0,"n/a",DGET(data,"Pctile30_hr3",_xlnm.Criteria)/IF(Result_type="Aggregate Impact",1,Bid/1000))</f>
        <v>8.1261139999999994</v>
      </c>
      <c r="L10" s="49">
        <f t="shared" si="1"/>
        <v>10.286770000000001</v>
      </c>
      <c r="M10" s="49">
        <f>IF(Bid=0,"n/a",DGET(data,"Pctile70_hr3",_xlnm.Criteria)/IF(Result_type="Aggregate Impact",1,Bid/1000))</f>
        <v>12.447419999999999</v>
      </c>
      <c r="N10" s="49">
        <f>IF(Bid=0,"n/a",DGET(data,"Pctile90_hr3",_xlnm.Criteria)/IF(Result_type="Aggregate Impact",1,Bid/1000))</f>
        <v>15.567069999999999</v>
      </c>
    </row>
    <row r="11" spans="1:14" ht="17.25" customHeight="1" x14ac:dyDescent="0.2">
      <c r="A11" s="48"/>
      <c r="B11" s="66"/>
      <c r="C11" s="15"/>
      <c r="D11" s="15"/>
      <c r="E11" s="35">
        <v>4</v>
      </c>
      <c r="F11" s="49">
        <f>IF(Bid=0,"n/a",DGET(data,"Ref_hr4",_xlnm.Criteria)/IF(Result_type="Aggregate Impact",1,Bid/1000))</f>
        <v>686.13940000000002</v>
      </c>
      <c r="G11" s="49">
        <f t="shared" si="0"/>
        <v>673.17171000000008</v>
      </c>
      <c r="H11" s="49">
        <f>IF(Bid=0,"n/a",DGET(data,"Pctile50_hr4",_xlnm.Criteria)/IF(Result_type="Aggregate Impact",1,Bid/1000))</f>
        <v>12.967689999999999</v>
      </c>
      <c r="I11" s="49">
        <f>IF(Bid=0,"n/a",DGET(data,"Temp_hr4",_xlnm.Criteria))</f>
        <v>48.749310000000001</v>
      </c>
      <c r="J11" s="49">
        <f>IF(Bid=0,"n/a",DGET(data,"Pctile10_hr4",_xlnm.Criteria)/IF(Result_type="Aggregate Impact",1,Bid/1000))</f>
        <v>7.7574699999999996</v>
      </c>
      <c r="K11" s="49">
        <f>IF(Bid=0,"n/a",DGET(data,"Pctile30_hr4",_xlnm.Criteria)/IF(Result_type="Aggregate Impact",1,Bid/1000))</f>
        <v>10.835710000000001</v>
      </c>
      <c r="L11" s="49">
        <f t="shared" si="1"/>
        <v>12.967689999999999</v>
      </c>
      <c r="M11" s="49">
        <f>IF(Bid=0,"n/a",DGET(data,"Pctile70_hr4",_xlnm.Criteria)/IF(Result_type="Aggregate Impact",1,Bid/1000))</f>
        <v>15.099679999999999</v>
      </c>
      <c r="N11" s="49">
        <f>IF(Bid=0,"n/a",DGET(data,"Pctile90_hr4",_xlnm.Criteria)/IF(Result_type="Aggregate Impact",1,Bid/1000))</f>
        <v>18.17792</v>
      </c>
    </row>
    <row r="12" spans="1:14" ht="17.25" customHeight="1" x14ac:dyDescent="0.2">
      <c r="C12" s="15"/>
      <c r="D12" s="15"/>
      <c r="E12" s="35">
        <v>5</v>
      </c>
      <c r="F12" s="49">
        <f>IF(Bid=0,"n/a",DGET(data,"Ref_hr5",_xlnm.Criteria)/IF(Result_type="Aggregate Impact",1,Bid/1000))</f>
        <v>712.87350000000004</v>
      </c>
      <c r="G12" s="49">
        <f t="shared" si="0"/>
        <v>702.35145</v>
      </c>
      <c r="H12" s="49">
        <f>IF(Bid=0,"n/a",DGET(data,"Pctile50_hr5",_xlnm.Criteria)/IF(Result_type="Aggregate Impact",1,Bid/1000))</f>
        <v>10.52205</v>
      </c>
      <c r="I12" s="49">
        <f>IF(Bid=0,"n/a",DGET(data,"Temp_hr5",_xlnm.Criteria))</f>
        <v>48.638759999999998</v>
      </c>
      <c r="J12" s="49">
        <f>IF(Bid=0,"n/a",DGET(data,"Pctile10_hr5",_xlnm.Criteria)/IF(Result_type="Aggregate Impact",1,Bid/1000))</f>
        <v>6.6868819999999998</v>
      </c>
      <c r="K12" s="49">
        <f>IF(Bid=0,"n/a",DGET(data,"Pctile30_hr5",_xlnm.Criteria)/IF(Result_type="Aggregate Impact",1,Bid/1000))</f>
        <v>8.9527300000000007</v>
      </c>
      <c r="L12" s="49">
        <f t="shared" si="1"/>
        <v>10.52205</v>
      </c>
      <c r="M12" s="49">
        <f>IF(Bid=0,"n/a",DGET(data,"Pctile70_hr5",_xlnm.Criteria)/IF(Result_type="Aggregate Impact",1,Bid/1000))</f>
        <v>12.09137</v>
      </c>
      <c r="N12" s="49">
        <f>IF(Bid=0,"n/a",DGET(data,"Pctile90_hr5",_xlnm.Criteria)/IF(Result_type="Aggregate Impact",1,Bid/1000))</f>
        <v>14.35722</v>
      </c>
    </row>
    <row r="13" spans="1:14" ht="17.25" customHeight="1" x14ac:dyDescent="0.2">
      <c r="D13" s="5"/>
      <c r="E13" s="35">
        <v>6</v>
      </c>
      <c r="F13" s="49">
        <f>IF(Bid=0,"n/a",DGET(data,"Ref_hr6",_xlnm.Criteria)/IF(Result_type="Aggregate Impact",1,Bid/1000))</f>
        <v>741.37900000000002</v>
      </c>
      <c r="G13" s="49">
        <f t="shared" si="0"/>
        <v>726.06396000000007</v>
      </c>
      <c r="H13" s="49">
        <f>IF(Bid=0,"n/a",DGET(data,"Pctile50_hr6",_xlnm.Criteria)/IF(Result_type="Aggregate Impact",1,Bid/1000))</f>
        <v>15.31504</v>
      </c>
      <c r="I13" s="49">
        <f>IF(Bid=0,"n/a",DGET(data,"Temp_hr6",_xlnm.Criteria))</f>
        <v>48.778480000000002</v>
      </c>
      <c r="J13" s="49">
        <f>IF(Bid=0,"n/a",DGET(data,"Pctile10_hr6",_xlnm.Criteria)/IF(Result_type="Aggregate Impact",1,Bid/1000))</f>
        <v>11.435879999999999</v>
      </c>
      <c r="K13" s="49">
        <f>IF(Bid=0,"n/a",DGET(data,"Pctile30_hr6",_xlnm.Criteria)/IF(Result_type="Aggregate Impact",1,Bid/1000))</f>
        <v>13.72772</v>
      </c>
      <c r="L13" s="49">
        <f t="shared" si="1"/>
        <v>15.31504</v>
      </c>
      <c r="M13" s="49">
        <f>IF(Bid=0,"n/a",DGET(data,"Pctile70_hr6",_xlnm.Criteria)/IF(Result_type="Aggregate Impact",1,Bid/1000))</f>
        <v>16.902360000000002</v>
      </c>
      <c r="N13" s="49">
        <f>IF(Bid=0,"n/a",DGET(data,"Pctile90_hr6",_xlnm.Criteria)/IF(Result_type="Aggregate Impact",1,Bid/1000))</f>
        <v>19.194199999999999</v>
      </c>
    </row>
    <row r="14" spans="1:14" ht="16.5" x14ac:dyDescent="0.2">
      <c r="D14" s="5"/>
      <c r="E14" s="35">
        <v>7</v>
      </c>
      <c r="F14" s="49">
        <f>IF(Bid=0,"n/a",DGET(data,"Ref_hr7",_xlnm.Criteria)/IF(Result_type="Aggregate Impact",1,Bid/1000))</f>
        <v>758.74599999999998</v>
      </c>
      <c r="G14" s="49">
        <f t="shared" si="0"/>
        <v>751.52302799999995</v>
      </c>
      <c r="H14" s="49">
        <f>IF(Bid=0,"n/a",DGET(data,"Pctile50_hr7",_xlnm.Criteria)/IF(Result_type="Aggregate Impact",1,Bid/1000))</f>
        <v>7.2229720000000004</v>
      </c>
      <c r="I14" s="49">
        <f>IF(Bid=0,"n/a",DGET(data,"Temp_hr7",_xlnm.Criteria))</f>
        <v>48.837829999999997</v>
      </c>
      <c r="J14" s="49">
        <f>IF(Bid=0,"n/a",DGET(data,"Pctile10_hr7",_xlnm.Criteria)/IF(Result_type="Aggregate Impact",1,Bid/1000))</f>
        <v>1.6472530000000001</v>
      </c>
      <c r="K14" s="49">
        <f>IF(Bid=0,"n/a",DGET(data,"Pctile30_hr7",_xlnm.Criteria)/IF(Result_type="Aggregate Impact",1,Bid/1000))</f>
        <v>4.941433</v>
      </c>
      <c r="L14" s="49">
        <f t="shared" si="1"/>
        <v>7.2229720000000004</v>
      </c>
      <c r="M14" s="49">
        <f>IF(Bid=0,"n/a",DGET(data,"Pctile70_hr7",_xlnm.Criteria)/IF(Result_type="Aggregate Impact",1,Bid/1000))</f>
        <v>9.5045120000000001</v>
      </c>
      <c r="N14" s="49">
        <f>IF(Bid=0,"n/a",DGET(data,"Pctile90_hr7",_xlnm.Criteria)/IF(Result_type="Aggregate Impact",1,Bid/1000))</f>
        <v>12.798690000000001</v>
      </c>
    </row>
    <row r="15" spans="1:14" ht="16.5" x14ac:dyDescent="0.2">
      <c r="A15" s="16"/>
      <c r="C15" s="5"/>
      <c r="D15" s="5"/>
      <c r="E15" s="35">
        <v>8</v>
      </c>
      <c r="F15" s="49">
        <f>IF(Bid=0,"n/a",DGET(data,"Ref_hr8",_xlnm.Criteria)/IF(Result_type="Aggregate Impact",1,Bid/1000))</f>
        <v>765.93849999999998</v>
      </c>
      <c r="G15" s="49">
        <f t="shared" si="0"/>
        <v>769.53083600000002</v>
      </c>
      <c r="H15" s="49">
        <f>IF(Bid=0,"n/a",DGET(data,"Pctile50_hr8",_xlnm.Criteria)/IF(Result_type="Aggregate Impact",1,Bid/1000))</f>
        <v>-3.592336</v>
      </c>
      <c r="I15" s="49">
        <f>IF(Bid=0,"n/a",DGET(data,"Temp_hr8",_xlnm.Criteria))</f>
        <v>49.255209999999998</v>
      </c>
      <c r="J15" s="49">
        <f>IF(Bid=0,"n/a",DGET(data,"Pctile10_hr8",_xlnm.Criteria)/IF(Result_type="Aggregate Impact",1,Bid/1000))</f>
        <v>-9.3737940000000002</v>
      </c>
      <c r="K15" s="49">
        <f>IF(Bid=0,"n/a",DGET(data,"Pctile30_hr8",_xlnm.Criteria)/IF(Result_type="Aggregate Impact",1,Bid/1000))</f>
        <v>-5.958062</v>
      </c>
      <c r="L15" s="49">
        <f t="shared" si="1"/>
        <v>-3.592336</v>
      </c>
      <c r="M15" s="49">
        <f>IF(Bid=0,"n/a",DGET(data,"Pctile70_hr8",_xlnm.Criteria)/IF(Result_type="Aggregate Impact",1,Bid/1000))</f>
        <v>-1.2266109999999999</v>
      </c>
      <c r="N15" s="49">
        <f>IF(Bid=0,"n/a",DGET(data,"Pctile90_hr8",_xlnm.Criteria)/IF(Result_type="Aggregate Impact",1,Bid/1000))</f>
        <v>2.1891210000000001</v>
      </c>
    </row>
    <row r="16" spans="1:14" ht="16.5" x14ac:dyDescent="0.2">
      <c r="C16" s="5"/>
      <c r="D16" s="5"/>
      <c r="E16" s="35">
        <v>9</v>
      </c>
      <c r="F16" s="49">
        <f>IF(Bid=0,"n/a",DGET(data,"Ref_hr9",_xlnm.Criteria)/IF(Result_type="Aggregate Impact",1,Bid/1000))</f>
        <v>776.43290000000002</v>
      </c>
      <c r="G16" s="49">
        <f t="shared" si="0"/>
        <v>787.29537000000005</v>
      </c>
      <c r="H16" s="49">
        <f>IF(Bid=0,"n/a",DGET(data,"Pctile50_hr9",_xlnm.Criteria)/IF(Result_type="Aggregate Impact",1,Bid/1000))</f>
        <v>-10.86247</v>
      </c>
      <c r="I16" s="49">
        <f>IF(Bid=0,"n/a",DGET(data,"Temp_hr9",_xlnm.Criteria))</f>
        <v>51.148569999999999</v>
      </c>
      <c r="J16" s="49">
        <f>IF(Bid=0,"n/a",DGET(data,"Pctile10_hr9",_xlnm.Criteria)/IF(Result_type="Aggregate Impact",1,Bid/1000))</f>
        <v>-17.716560000000001</v>
      </c>
      <c r="K16" s="49">
        <f>IF(Bid=0,"n/a",DGET(data,"Pctile30_hr9",_xlnm.Criteria)/IF(Result_type="Aggregate Impact",1,Bid/1000))</f>
        <v>-13.667109999999999</v>
      </c>
      <c r="L16" s="49">
        <f t="shared" si="1"/>
        <v>-10.86247</v>
      </c>
      <c r="M16" s="49">
        <f>IF(Bid=0,"n/a",DGET(data,"Pctile70_hr9",_xlnm.Criteria)/IF(Result_type="Aggregate Impact",1,Bid/1000))</f>
        <v>-8.0578299999999992</v>
      </c>
      <c r="N16" s="49">
        <f>IF(Bid=0,"n/a",DGET(data,"Pctile90_hr9",_xlnm.Criteria)/IF(Result_type="Aggregate Impact",1,Bid/1000))</f>
        <v>-4.0083760000000002</v>
      </c>
    </row>
    <row r="17" spans="3:23" ht="16.5" x14ac:dyDescent="0.2">
      <c r="C17" s="5"/>
      <c r="D17" s="5"/>
      <c r="E17" s="35">
        <v>10</v>
      </c>
      <c r="F17" s="49">
        <f>IF(Bid=0,"n/a",DGET(data,"Ref_hr10",_xlnm.Criteria)/IF(Result_type="Aggregate Impact",1,Bid/1000))</f>
        <v>773.53309999999999</v>
      </c>
      <c r="G17" s="49">
        <f t="shared" si="0"/>
        <v>780.21614699999998</v>
      </c>
      <c r="H17" s="49">
        <f>IF(Bid=0,"n/a",DGET(data,"Pctile50_hr10",_xlnm.Criteria)/IF(Result_type="Aggregate Impact",1,Bid/1000))</f>
        <v>-6.6830470000000002</v>
      </c>
      <c r="I17" s="49">
        <f>IF(Bid=0,"n/a",DGET(data,"Temp_hr10",_xlnm.Criteria))</f>
        <v>53.142180000000003</v>
      </c>
      <c r="J17" s="49">
        <f>IF(Bid=0,"n/a",DGET(data,"Pctile10_hr10",_xlnm.Criteria)/IF(Result_type="Aggregate Impact",1,Bid/1000))</f>
        <v>-12.29574</v>
      </c>
      <c r="K17" s="49">
        <f>IF(Bid=0,"n/a",DGET(data,"Pctile30_hr10",_xlnm.Criteria)/IF(Result_type="Aggregate Impact",1,Bid/1000))</f>
        <v>-8.9797130000000003</v>
      </c>
      <c r="L17" s="49">
        <f t="shared" si="1"/>
        <v>-6.6830470000000002</v>
      </c>
      <c r="M17" s="49">
        <f>IF(Bid=0,"n/a",DGET(data,"Pctile70_hr10",_xlnm.Criteria)/IF(Result_type="Aggregate Impact",1,Bid/1000))</f>
        <v>-4.3863799999999999</v>
      </c>
      <c r="N17" s="49">
        <f>IF(Bid=0,"n/a",DGET(data,"Pctile90_hr10",_xlnm.Criteria)/IF(Result_type="Aggregate Impact",1,Bid/1000))</f>
        <v>-1.070357</v>
      </c>
    </row>
    <row r="18" spans="3:23" ht="16.5" x14ac:dyDescent="0.2">
      <c r="C18" s="5"/>
      <c r="D18" s="5"/>
      <c r="E18" s="35">
        <v>11</v>
      </c>
      <c r="F18" s="49">
        <f>IF(Bid=0,"n/a",DGET(data,"Ref_hr11",_xlnm.Criteria)/IF(Result_type="Aggregate Impact",1,Bid/1000))</f>
        <v>777.26229999999998</v>
      </c>
      <c r="G18" s="49">
        <f t="shared" si="0"/>
        <v>773.24431600000003</v>
      </c>
      <c r="H18" s="49">
        <f>IF(Bid=0,"n/a",DGET(data,"Pctile50_hr11",_xlnm.Criteria)/IF(Result_type="Aggregate Impact",1,Bid/1000))</f>
        <v>4.0179840000000002</v>
      </c>
      <c r="I18" s="49">
        <f>IF(Bid=0,"n/a",DGET(data,"Temp_hr11",_xlnm.Criteria))</f>
        <v>54.476140000000001</v>
      </c>
      <c r="J18" s="49">
        <f>IF(Bid=0,"n/a",DGET(data,"Pctile10_hr11",_xlnm.Criteria)/IF(Result_type="Aggregate Impact",1,Bid/1000))</f>
        <v>-2.759217</v>
      </c>
      <c r="K18" s="49">
        <f>IF(Bid=0,"n/a",DGET(data,"Pctile30_hr11",_xlnm.Criteria)/IF(Result_type="Aggregate Impact",1,Bid/1000))</f>
        <v>1.2448079999999999</v>
      </c>
      <c r="L18" s="49">
        <f t="shared" si="1"/>
        <v>4.0179840000000002</v>
      </c>
      <c r="M18" s="49">
        <f>IF(Bid=0,"n/a",DGET(data,"Pctile70_hr11",_xlnm.Criteria)/IF(Result_type="Aggregate Impact",1,Bid/1000))</f>
        <v>6.7911599999999996</v>
      </c>
      <c r="N18" s="49">
        <f>IF(Bid=0,"n/a",DGET(data,"Pctile90_hr11",_xlnm.Criteria)/IF(Result_type="Aggregate Impact",1,Bid/1000))</f>
        <v>10.79518</v>
      </c>
      <c r="S18" s="39"/>
      <c r="T18" s="39"/>
      <c r="U18" s="39"/>
      <c r="V18" s="39"/>
      <c r="W18" s="39"/>
    </row>
    <row r="19" spans="3:23" ht="16.5" x14ac:dyDescent="0.2">
      <c r="C19" s="5"/>
      <c r="D19" s="5"/>
      <c r="E19" s="35">
        <v>12</v>
      </c>
      <c r="F19" s="49">
        <f>IF(Bid=0,"n/a",DGET(data,"Ref_hr12",_xlnm.Criteria)/IF(Result_type="Aggregate Impact",1,Bid/1000))</f>
        <v>775.34839999999997</v>
      </c>
      <c r="G19" s="49">
        <f t="shared" si="0"/>
        <v>777.26123499999994</v>
      </c>
      <c r="H19" s="49">
        <f>IF(Bid=0,"n/a",DGET(data,"Pctile50_hr12",_xlnm.Criteria)/IF(Result_type="Aggregate Impact",1,Bid/1000))</f>
        <v>-1.9128350000000001</v>
      </c>
      <c r="I19" s="49">
        <f>IF(Bid=0,"n/a",DGET(data,"Temp_hr12",_xlnm.Criteria))</f>
        <v>55.275770000000001</v>
      </c>
      <c r="J19" s="49">
        <f>IF(Bid=0,"n/a",DGET(data,"Pctile10_hr12",_xlnm.Criteria)/IF(Result_type="Aggregate Impact",1,Bid/1000))</f>
        <v>-9.2278500000000001</v>
      </c>
      <c r="K19" s="49">
        <f>IF(Bid=0,"n/a",DGET(data,"Pctile30_hr12",_xlnm.Criteria)/IF(Result_type="Aggregate Impact",1,Bid/1000))</f>
        <v>-4.9060800000000002</v>
      </c>
      <c r="L19" s="49">
        <f t="shared" si="1"/>
        <v>-1.9128350000000001</v>
      </c>
      <c r="M19" s="49">
        <f>IF(Bid=0,"n/a",DGET(data,"Pctile70_hr12",_xlnm.Criteria)/IF(Result_type="Aggregate Impact",1,Bid/1000))</f>
        <v>1.0804100000000001</v>
      </c>
      <c r="N19" s="49">
        <f>IF(Bid=0,"n/a",DGET(data,"Pctile90_hr12",_xlnm.Criteria)/IF(Result_type="Aggregate Impact",1,Bid/1000))</f>
        <v>5.4021800000000004</v>
      </c>
      <c r="S19" s="39"/>
      <c r="T19" s="39"/>
      <c r="U19" s="39"/>
      <c r="V19" s="39"/>
      <c r="W19" s="39"/>
    </row>
    <row r="20" spans="3:23" ht="16.5" x14ac:dyDescent="0.2">
      <c r="C20" s="5"/>
      <c r="D20" s="5"/>
      <c r="E20" s="35">
        <v>13</v>
      </c>
      <c r="F20" s="49">
        <f>IF(Bid=0,"n/a",DGET(data,"Ref_hr13",_xlnm.Criteria)/IF(Result_type="Aggregate Impact",1,Bid/1000))</f>
        <v>770.03610000000003</v>
      </c>
      <c r="G20" s="49">
        <f t="shared" si="0"/>
        <v>765.52661599999999</v>
      </c>
      <c r="H20" s="49">
        <f>IF(Bid=0,"n/a",DGET(data,"Pctile50_hr13",_xlnm.Criteria)/IF(Result_type="Aggregate Impact",1,Bid/1000))</f>
        <v>4.5094839999999996</v>
      </c>
      <c r="I20" s="49">
        <f>IF(Bid=0,"n/a",DGET(data,"Temp_hr13",_xlnm.Criteria))</f>
        <v>55.160040000000002</v>
      </c>
      <c r="J20" s="49">
        <f>IF(Bid=0,"n/a",DGET(data,"Pctile10_hr13",_xlnm.Criteria)/IF(Result_type="Aggregate Impact",1,Bid/1000))</f>
        <v>-4.3141819999999997</v>
      </c>
      <c r="K20" s="49">
        <f>IF(Bid=0,"n/a",DGET(data,"Pctile30_hr13",_xlnm.Criteria)/IF(Result_type="Aggregate Impact",1,Bid/1000))</f>
        <v>0.89891160000000003</v>
      </c>
      <c r="L20" s="49">
        <f t="shared" si="1"/>
        <v>4.5094839999999996</v>
      </c>
      <c r="M20" s="49">
        <f>IF(Bid=0,"n/a",DGET(data,"Pctile70_hr13",_xlnm.Criteria)/IF(Result_type="Aggregate Impact",1,Bid/1000))</f>
        <v>8.1200569999999992</v>
      </c>
      <c r="N20" s="49">
        <f>IF(Bid=0,"n/a",DGET(data,"Pctile90_hr13",_xlnm.Criteria)/IF(Result_type="Aggregate Impact",1,Bid/1000))</f>
        <v>13.33315</v>
      </c>
      <c r="S20" s="39"/>
      <c r="T20" s="39"/>
      <c r="U20" s="39"/>
      <c r="V20" s="39"/>
      <c r="W20" s="39"/>
    </row>
    <row r="21" spans="3:23" ht="16.5" x14ac:dyDescent="0.2">
      <c r="C21" s="5"/>
      <c r="D21" s="5"/>
      <c r="E21" s="35">
        <v>14</v>
      </c>
      <c r="F21" s="49">
        <f>IF(Bid=0,"n/a",DGET(data,"Ref_hr14",_xlnm.Criteria)/IF(Result_type="Aggregate Impact",1,Bid/1000))</f>
        <v>759.09280000000001</v>
      </c>
      <c r="G21" s="49">
        <f t="shared" si="0"/>
        <v>759.75749250000001</v>
      </c>
      <c r="H21" s="49">
        <f>IF(Bid=0,"n/a",DGET(data,"Pctile50_hr14",_xlnm.Criteria)/IF(Result_type="Aggregate Impact",1,Bid/1000))</f>
        <v>-0.66469250000000002</v>
      </c>
      <c r="I21" s="49">
        <f>IF(Bid=0,"n/a",DGET(data,"Temp_hr14",_xlnm.Criteria))</f>
        <v>54.414059999999999</v>
      </c>
      <c r="J21" s="49">
        <f>IF(Bid=0,"n/a",DGET(data,"Pctile10_hr14",_xlnm.Criteria)/IF(Result_type="Aggregate Impact",1,Bid/1000))</f>
        <v>-11.471220000000001</v>
      </c>
      <c r="K21" s="49">
        <f>IF(Bid=0,"n/a",DGET(data,"Pctile30_hr14",_xlnm.Criteria)/IF(Result_type="Aggregate Impact",1,Bid/1000))</f>
        <v>-5.0866369999999996</v>
      </c>
      <c r="L21" s="49">
        <f t="shared" si="1"/>
        <v>-0.66469250000000002</v>
      </c>
      <c r="M21" s="49">
        <f>IF(Bid=0,"n/a",DGET(data,"Pctile70_hr14",_xlnm.Criteria)/IF(Result_type="Aggregate Impact",1,Bid/1000))</f>
        <v>3.7572519999999998</v>
      </c>
      <c r="N21" s="49">
        <f>IF(Bid=0,"n/a",DGET(data,"Pctile90_hr14",_xlnm.Criteria)/IF(Result_type="Aggregate Impact",1,Bid/1000))</f>
        <v>10.14184</v>
      </c>
      <c r="S21" s="39"/>
      <c r="T21" s="39"/>
      <c r="U21" s="39"/>
      <c r="V21" s="39"/>
      <c r="W21" s="39"/>
    </row>
    <row r="22" spans="3:23" ht="16.5" x14ac:dyDescent="0.2">
      <c r="C22" s="5"/>
      <c r="D22" s="5"/>
      <c r="E22" s="35">
        <v>15</v>
      </c>
      <c r="F22" s="49">
        <f>IF(Bid=0,"n/a",DGET(data,"Ref_hr15",_xlnm.Criteria)/IF(Result_type="Aggregate Impact",1,Bid/1000))</f>
        <v>754.73140000000001</v>
      </c>
      <c r="G22" s="49">
        <f t="shared" si="0"/>
        <v>525.46</v>
      </c>
      <c r="H22" s="49">
        <f>IF(Bid=0,"n/a",DGET(data,"Pctile50_hr15",_xlnm.Criteria)/IF(Result_type="Aggregate Impact",1,Bid/1000))</f>
        <v>229.2714</v>
      </c>
      <c r="I22" s="49">
        <f>IF(Bid=0,"n/a",DGET(data,"Temp_hr15",_xlnm.Criteria))</f>
        <v>53.280479999999997</v>
      </c>
      <c r="J22" s="49">
        <f>IF(Bid=0,"n/a",DGET(data,"Pctile10_hr15",_xlnm.Criteria)/IF(Result_type="Aggregate Impact",1,Bid/1000))</f>
        <v>212.9271</v>
      </c>
      <c r="K22" s="49">
        <f>IF(Bid=0,"n/a",DGET(data,"Pctile30_hr15",_xlnm.Criteria)/IF(Result_type="Aggregate Impact",1,Bid/1000))</f>
        <v>222.58349999999999</v>
      </c>
      <c r="L22" s="49">
        <f t="shared" si="1"/>
        <v>229.2714</v>
      </c>
      <c r="M22" s="49">
        <f>IF(Bid=0,"n/a",DGET(data,"Pctile70_hr15",_xlnm.Criteria)/IF(Result_type="Aggregate Impact",1,Bid/1000))</f>
        <v>235.95939999999999</v>
      </c>
      <c r="N22" s="49">
        <f>IF(Bid=0,"n/a",DGET(data,"Pctile90_hr15",_xlnm.Criteria)/IF(Result_type="Aggregate Impact",1,Bid/1000))</f>
        <v>245.61580000000001</v>
      </c>
      <c r="S22" s="39"/>
      <c r="T22" s="39"/>
      <c r="U22" s="39"/>
      <c r="V22" s="39"/>
      <c r="W22" s="39"/>
    </row>
    <row r="23" spans="3:23" ht="16.5" x14ac:dyDescent="0.2">
      <c r="C23" s="5"/>
      <c r="D23" s="5"/>
      <c r="E23" s="35">
        <v>16</v>
      </c>
      <c r="F23" s="49">
        <f>IF(Bid=0,"n/a",DGET(data,"Ref_hr16",_xlnm.Criteria)/IF(Result_type="Aggregate Impact",1,Bid/1000))</f>
        <v>742.19069999999999</v>
      </c>
      <c r="G23" s="49">
        <f t="shared" si="0"/>
        <v>142.18139999999994</v>
      </c>
      <c r="H23" s="49">
        <f>IF(Bid=0,"n/a",DGET(data,"Pctile50_hr16",_xlnm.Criteria)/IF(Result_type="Aggregate Impact",1,Bid/1000))</f>
        <v>600.00930000000005</v>
      </c>
      <c r="I23" s="49">
        <f>IF(Bid=0,"n/a",DGET(data,"Temp_hr16",_xlnm.Criteria))</f>
        <v>52.698509999999999</v>
      </c>
      <c r="J23" s="49">
        <f>IF(Bid=0,"n/a",DGET(data,"Pctile10_hr16",_xlnm.Criteria)/IF(Result_type="Aggregate Impact",1,Bid/1000))</f>
        <v>585.77170000000001</v>
      </c>
      <c r="K23" s="49">
        <f>IF(Bid=0,"n/a",DGET(data,"Pctile30_hr16",_xlnm.Criteria)/IF(Result_type="Aggregate Impact",1,Bid/1000))</f>
        <v>594.18330000000003</v>
      </c>
      <c r="L23" s="49">
        <f t="shared" si="1"/>
        <v>600.00930000000005</v>
      </c>
      <c r="M23" s="49">
        <f>IF(Bid=0,"n/a",DGET(data,"Pctile70_hr16",_xlnm.Criteria)/IF(Result_type="Aggregate Impact",1,Bid/1000))</f>
        <v>605.83519999999999</v>
      </c>
      <c r="N23" s="49">
        <f>IF(Bid=0,"n/a",DGET(data,"Pctile90_hr16",_xlnm.Criteria)/IF(Result_type="Aggregate Impact",1,Bid/1000))</f>
        <v>614.24689999999998</v>
      </c>
      <c r="S23" s="39"/>
      <c r="T23" s="39"/>
      <c r="U23" s="39"/>
      <c r="V23" s="39"/>
      <c r="W23" s="39"/>
    </row>
    <row r="24" spans="3:23" ht="16.5" x14ac:dyDescent="0.2">
      <c r="C24" s="5"/>
      <c r="D24" s="5"/>
      <c r="E24" s="35">
        <v>17</v>
      </c>
      <c r="F24" s="49">
        <f>IF(Bid=0,"n/a",DGET(data,"Ref_hr17",_xlnm.Criteria)/IF(Result_type="Aggregate Impact",1,Bid/1000))</f>
        <v>744.90859999999998</v>
      </c>
      <c r="G24" s="49">
        <f t="shared" si="0"/>
        <v>134.29700000000003</v>
      </c>
      <c r="H24" s="49">
        <f>IF(Bid=0,"n/a",DGET(data,"Pctile50_hr17",_xlnm.Criteria)/IF(Result_type="Aggregate Impact",1,Bid/1000))</f>
        <v>610.61159999999995</v>
      </c>
      <c r="I24" s="49">
        <f>IF(Bid=0,"n/a",DGET(data,"Temp_hr17",_xlnm.Criteria))</f>
        <v>51.730339999999998</v>
      </c>
      <c r="J24" s="49">
        <f>IF(Bid=0,"n/a",DGET(data,"Pctile10_hr17",_xlnm.Criteria)/IF(Result_type="Aggregate Impact",1,Bid/1000))</f>
        <v>596.55650000000003</v>
      </c>
      <c r="K24" s="49">
        <f>IF(Bid=0,"n/a",DGET(data,"Pctile30_hr17",_xlnm.Criteria)/IF(Result_type="Aggregate Impact",1,Bid/1000))</f>
        <v>604.86040000000003</v>
      </c>
      <c r="L24" s="49">
        <f t="shared" si="1"/>
        <v>610.61159999999995</v>
      </c>
      <c r="M24" s="49">
        <f>IF(Bid=0,"n/a",DGET(data,"Pctile70_hr17",_xlnm.Criteria)/IF(Result_type="Aggregate Impact",1,Bid/1000))</f>
        <v>616.36279999999999</v>
      </c>
      <c r="N24" s="49">
        <f>IF(Bid=0,"n/a",DGET(data,"Pctile90_hr17",_xlnm.Criteria)/IF(Result_type="Aggregate Impact",1,Bid/1000))</f>
        <v>624.66669999999999</v>
      </c>
      <c r="S24" s="39"/>
      <c r="T24" s="39"/>
      <c r="U24" s="39"/>
      <c r="V24" s="39"/>
      <c r="W24" s="39"/>
    </row>
    <row r="25" spans="3:23" ht="16.5" x14ac:dyDescent="0.2">
      <c r="C25" s="5"/>
      <c r="D25" s="5"/>
      <c r="E25" s="35">
        <v>18</v>
      </c>
      <c r="F25" s="49">
        <f>IF(Bid=0,"n/a",DGET(data,"Ref_hr18",_xlnm.Criteria)/IF(Result_type="Aggregate Impact",1,Bid/1000))</f>
        <v>763.13149999999996</v>
      </c>
      <c r="G25" s="49">
        <f t="shared" si="0"/>
        <v>123.93499999999995</v>
      </c>
      <c r="H25" s="49">
        <f>IF(Bid=0,"n/a",DGET(data,"Pctile50_hr18",_xlnm.Criteria)/IF(Result_type="Aggregate Impact",1,Bid/1000))</f>
        <v>639.19650000000001</v>
      </c>
      <c r="I25" s="49">
        <f>IF(Bid=0,"n/a",DGET(data,"Temp_hr18",_xlnm.Criteria))</f>
        <v>50.995950000000001</v>
      </c>
      <c r="J25" s="49">
        <f>IF(Bid=0,"n/a",DGET(data,"Pctile10_hr18",_xlnm.Criteria)/IF(Result_type="Aggregate Impact",1,Bid/1000))</f>
        <v>625.79639999999995</v>
      </c>
      <c r="K25" s="49">
        <f>IF(Bid=0,"n/a",DGET(data,"Pctile30_hr18",_xlnm.Criteria)/IF(Result_type="Aggregate Impact",1,Bid/1000))</f>
        <v>633.7133</v>
      </c>
      <c r="L25" s="49">
        <f t="shared" si="1"/>
        <v>639.19650000000001</v>
      </c>
      <c r="M25" s="49">
        <f>IF(Bid=0,"n/a",DGET(data,"Pctile70_hr18",_xlnm.Criteria)/IF(Result_type="Aggregate Impact",1,Bid/1000))</f>
        <v>644.67960000000005</v>
      </c>
      <c r="N25" s="49">
        <f>IF(Bid=0,"n/a",DGET(data,"Pctile90_hr18",_xlnm.Criteria)/IF(Result_type="Aggregate Impact",1,Bid/1000))</f>
        <v>652.59649999999999</v>
      </c>
      <c r="S25" s="39"/>
      <c r="T25" s="39"/>
      <c r="U25" s="39"/>
      <c r="V25" s="39"/>
      <c r="W25" s="39"/>
    </row>
    <row r="26" spans="3:23" ht="16.5" x14ac:dyDescent="0.2">
      <c r="C26" s="5"/>
      <c r="D26" s="5"/>
      <c r="E26" s="35">
        <v>19</v>
      </c>
      <c r="F26" s="49">
        <f>IF(Bid=0,"n/a",DGET(data,"Ref_hr19",_xlnm.Criteria)/IF(Result_type="Aggregate Impact",1,Bid/1000))</f>
        <v>770.02049999999997</v>
      </c>
      <c r="G26" s="49">
        <f t="shared" si="0"/>
        <v>124.42129999999997</v>
      </c>
      <c r="H26" s="49">
        <f>IF(Bid=0,"n/a",DGET(data,"Pctile50_hr19",_xlnm.Criteria)/IF(Result_type="Aggregate Impact",1,Bid/1000))</f>
        <v>645.5992</v>
      </c>
      <c r="I26" s="49">
        <f>IF(Bid=0,"n/a",DGET(data,"Temp_hr19",_xlnm.Criteria))</f>
        <v>50.234940000000002</v>
      </c>
      <c r="J26" s="49">
        <f>IF(Bid=0,"n/a",DGET(data,"Pctile10_hr19",_xlnm.Criteria)/IF(Result_type="Aggregate Impact",1,Bid/1000))</f>
        <v>629.56690000000003</v>
      </c>
      <c r="K26" s="49">
        <f>IF(Bid=0,"n/a",DGET(data,"Pctile30_hr19",_xlnm.Criteria)/IF(Result_type="Aggregate Impact",1,Bid/1000))</f>
        <v>639.03890000000001</v>
      </c>
      <c r="L26" s="49">
        <f t="shared" si="1"/>
        <v>645.5992</v>
      </c>
      <c r="M26" s="49">
        <f>IF(Bid=0,"n/a",DGET(data,"Pctile70_hr19",_xlnm.Criteria)/IF(Result_type="Aggregate Impact",1,Bid/1000))</f>
        <v>652.15949999999998</v>
      </c>
      <c r="N26" s="49">
        <f>IF(Bid=0,"n/a",DGET(data,"Pctile90_hr19",_xlnm.Criteria)/IF(Result_type="Aggregate Impact",1,Bid/1000))</f>
        <v>661.63160000000005</v>
      </c>
      <c r="S26" s="39"/>
      <c r="T26" s="39"/>
      <c r="U26" s="39"/>
      <c r="V26" s="39"/>
      <c r="W26" s="39"/>
    </row>
    <row r="27" spans="3:23" ht="16.5" x14ac:dyDescent="0.2">
      <c r="C27" s="5"/>
      <c r="D27" s="5"/>
      <c r="E27" s="35">
        <v>20</v>
      </c>
      <c r="F27" s="49">
        <f>IF(Bid=0,"n/a",DGET(data,"Ref_hr20",_xlnm.Criteria)/IF(Result_type="Aggregate Impact",1,Bid/1000))</f>
        <v>767.12040000000002</v>
      </c>
      <c r="G27" s="49">
        <f t="shared" si="0"/>
        <v>194.2251</v>
      </c>
      <c r="H27" s="49">
        <f>IF(Bid=0,"n/a",DGET(data,"Pctile50_hr20",_xlnm.Criteria)/IF(Result_type="Aggregate Impact",1,Bid/1000))</f>
        <v>572.89530000000002</v>
      </c>
      <c r="I27" s="49">
        <f>IF(Bid=0,"n/a",DGET(data,"Temp_hr20",_xlnm.Criteria))</f>
        <v>49.579360000000001</v>
      </c>
      <c r="J27" s="49">
        <f>IF(Bid=0,"n/a",DGET(data,"Pctile10_hr20",_xlnm.Criteria)/IF(Result_type="Aggregate Impact",1,Bid/1000))</f>
        <v>560.19370000000004</v>
      </c>
      <c r="K27" s="49">
        <f>IF(Bid=0,"n/a",DGET(data,"Pctile30_hr20",_xlnm.Criteria)/IF(Result_type="Aggregate Impact",1,Bid/1000))</f>
        <v>567.6979</v>
      </c>
      <c r="L27" s="49">
        <f t="shared" si="1"/>
        <v>572.89530000000002</v>
      </c>
      <c r="M27" s="49">
        <f>IF(Bid=0,"n/a",DGET(data,"Pctile70_hr20",_xlnm.Criteria)/IF(Result_type="Aggregate Impact",1,Bid/1000))</f>
        <v>578.09270000000004</v>
      </c>
      <c r="N27" s="49">
        <f>IF(Bid=0,"n/a",DGET(data,"Pctile90_hr20",_xlnm.Criteria)/IF(Result_type="Aggregate Impact",1,Bid/1000))</f>
        <v>585.59699999999998</v>
      </c>
      <c r="S27" s="39"/>
      <c r="T27" s="39"/>
      <c r="U27" s="39"/>
      <c r="V27" s="39"/>
      <c r="W27" s="39"/>
    </row>
    <row r="28" spans="3:23" ht="16.5" x14ac:dyDescent="0.2">
      <c r="C28" s="5"/>
      <c r="D28" s="5"/>
      <c r="E28" s="35">
        <v>21</v>
      </c>
      <c r="F28" s="49">
        <f>IF(Bid=0,"n/a",DGET(data,"Ref_hr21",_xlnm.Criteria)/IF(Result_type="Aggregate Impact",1,Bid/1000))</f>
        <v>766.56679999999994</v>
      </c>
      <c r="G28" s="49">
        <f t="shared" si="0"/>
        <v>369.83829999999995</v>
      </c>
      <c r="H28" s="49">
        <f>IF(Bid=0,"n/a",DGET(data,"Pctile50_hr21",_xlnm.Criteria)/IF(Result_type="Aggregate Impact",1,Bid/1000))</f>
        <v>396.7285</v>
      </c>
      <c r="I28" s="49">
        <f>IF(Bid=0,"n/a",DGET(data,"Temp_hr21",_xlnm.Criteria))</f>
        <v>48.106780000000001</v>
      </c>
      <c r="J28" s="49">
        <f>IF(Bid=0,"n/a",DGET(data,"Pctile10_hr21",_xlnm.Criteria)/IF(Result_type="Aggregate Impact",1,Bid/1000))</f>
        <v>384.58909999999997</v>
      </c>
      <c r="K28" s="49">
        <f>IF(Bid=0,"n/a",DGET(data,"Pctile30_hr21",_xlnm.Criteria)/IF(Result_type="Aggregate Impact",1,Bid/1000))</f>
        <v>391.7611</v>
      </c>
      <c r="L28" s="49">
        <f t="shared" si="1"/>
        <v>396.7285</v>
      </c>
      <c r="M28" s="49">
        <f>IF(Bid=0,"n/a",DGET(data,"Pctile70_hr21",_xlnm.Criteria)/IF(Result_type="Aggregate Impact",1,Bid/1000))</f>
        <v>401.69580000000002</v>
      </c>
      <c r="N28" s="49">
        <f>IF(Bid=0,"n/a",DGET(data,"Pctile90_hr21",_xlnm.Criteria)/IF(Result_type="Aggregate Impact",1,Bid/1000))</f>
        <v>408.86779999999999</v>
      </c>
      <c r="S28" s="39"/>
      <c r="T28" s="39"/>
      <c r="U28" s="39"/>
      <c r="V28" s="39"/>
      <c r="W28" s="39"/>
    </row>
    <row r="29" spans="3:23" ht="16.5" x14ac:dyDescent="0.2">
      <c r="C29" s="5"/>
      <c r="D29" s="5"/>
      <c r="E29" s="35">
        <v>22</v>
      </c>
      <c r="F29" s="49">
        <f>IF(Bid=0,"n/a",DGET(data,"Ref_hr22",_xlnm.Criteria)/IF(Result_type="Aggregate Impact",1,Bid/1000))</f>
        <v>756.12739999999997</v>
      </c>
      <c r="G29" s="49">
        <f t="shared" si="0"/>
        <v>468.66909999999996</v>
      </c>
      <c r="H29" s="49">
        <f>IF(Bid=0,"n/a",DGET(data,"Pctile50_hr22",_xlnm.Criteria)/IF(Result_type="Aggregate Impact",1,Bid/1000))</f>
        <v>287.45830000000001</v>
      </c>
      <c r="I29" s="49">
        <f>IF(Bid=0,"n/a",DGET(data,"Temp_hr22",_xlnm.Criteria))</f>
        <v>47.957210000000003</v>
      </c>
      <c r="J29" s="49">
        <f>IF(Bid=0,"n/a",DGET(data,"Pctile10_hr22",_xlnm.Criteria)/IF(Result_type="Aggregate Impact",1,Bid/1000))</f>
        <v>277.04090000000002</v>
      </c>
      <c r="K29" s="49">
        <f>IF(Bid=0,"n/a",DGET(data,"Pctile30_hr22",_xlnm.Criteria)/IF(Result_type="Aggregate Impact",1,Bid/1000))</f>
        <v>283.19560000000001</v>
      </c>
      <c r="L29" s="49">
        <f t="shared" si="1"/>
        <v>287.45830000000001</v>
      </c>
      <c r="M29" s="49">
        <f>IF(Bid=0,"n/a",DGET(data,"Pctile70_hr22",_xlnm.Criteria)/IF(Result_type="Aggregate Impact",1,Bid/1000))</f>
        <v>291.721</v>
      </c>
      <c r="N29" s="49">
        <f>IF(Bid=0,"n/a",DGET(data,"Pctile90_hr22",_xlnm.Criteria)/IF(Result_type="Aggregate Impact",1,Bid/1000))</f>
        <v>297.87569999999999</v>
      </c>
    </row>
    <row r="30" spans="3:23" ht="16.5" x14ac:dyDescent="0.2">
      <c r="C30" s="5"/>
      <c r="D30" s="5"/>
      <c r="E30" s="35">
        <v>23</v>
      </c>
      <c r="F30" s="49">
        <f>IF(Bid=0,"n/a",DGET(data,"Ref_hr23",_xlnm.Criteria)/IF(Result_type="Aggregate Impact",1,Bid/1000))</f>
        <v>754.76559999999995</v>
      </c>
      <c r="G30" s="49">
        <f t="shared" si="0"/>
        <v>506.11759999999992</v>
      </c>
      <c r="H30" s="49">
        <f>IF(Bid=0,"n/a",DGET(data,"Pctile50_hr23",_xlnm.Criteria)/IF(Result_type="Aggregate Impact",1,Bid/1000))</f>
        <v>248.648</v>
      </c>
      <c r="I30" s="49">
        <f>IF(Bid=0,"n/a",DGET(data,"Temp_hr23",_xlnm.Criteria))</f>
        <v>48.622369999999997</v>
      </c>
      <c r="J30" s="49">
        <f>IF(Bid=0,"n/a",DGET(data,"Pctile10_hr23",_xlnm.Criteria)/IF(Result_type="Aggregate Impact",1,Bid/1000))</f>
        <v>238.63550000000001</v>
      </c>
      <c r="K30" s="49">
        <f>IF(Bid=0,"n/a",DGET(data,"Pctile30_hr23",_xlnm.Criteria)/IF(Result_type="Aggregate Impact",1,Bid/1000))</f>
        <v>244.55090000000001</v>
      </c>
      <c r="L30" s="49">
        <f t="shared" si="1"/>
        <v>248.648</v>
      </c>
      <c r="M30" s="49">
        <f>IF(Bid=0,"n/a",DGET(data,"Pctile70_hr23",_xlnm.Criteria)/IF(Result_type="Aggregate Impact",1,Bid/1000))</f>
        <v>252.745</v>
      </c>
      <c r="N30" s="49">
        <f>IF(Bid=0,"n/a",DGET(data,"Pctile90_hr23",_xlnm.Criteria)/IF(Result_type="Aggregate Impact",1,Bid/1000))</f>
        <v>258.66050000000001</v>
      </c>
    </row>
    <row r="31" spans="3:23" ht="16.5" x14ac:dyDescent="0.2">
      <c r="C31" s="5"/>
      <c r="D31" s="5"/>
      <c r="E31" s="35">
        <v>24</v>
      </c>
      <c r="F31" s="49">
        <f>IF(Bid=0,"n/a",DGET(data,"Ref_hr24",_xlnm.Criteria)/IF(Result_type="Aggregate Impact",1,Bid/1000))</f>
        <v>752.45619999999997</v>
      </c>
      <c r="G31" s="49">
        <f t="shared" si="0"/>
        <v>530.23270000000002</v>
      </c>
      <c r="H31" s="49">
        <f>IF(Bid=0,"n/a",DGET(data,"Pctile50_hr24",_xlnm.Criteria)/IF(Result_type="Aggregate Impact",1,Bid/1000))</f>
        <v>222.2235</v>
      </c>
      <c r="I31" s="49">
        <f>IF(Bid=0,"n/a",DGET(data,"Temp_hr24",_xlnm.Criteria))</f>
        <v>48.419330000000002</v>
      </c>
      <c r="J31" s="49">
        <f>IF(Bid=0,"n/a",DGET(data,"Pctile10_hr24",_xlnm.Criteria)/IF(Result_type="Aggregate Impact",1,Bid/1000))</f>
        <v>212.2039</v>
      </c>
      <c r="K31" s="49">
        <f>IF(Bid=0,"n/a",DGET(data,"Pctile30_hr24",_xlnm.Criteria)/IF(Result_type="Aggregate Impact",1,Bid/1000))</f>
        <v>218.12360000000001</v>
      </c>
      <c r="L31" s="49">
        <f t="shared" si="1"/>
        <v>222.2235</v>
      </c>
      <c r="M31" s="49">
        <f>IF(Bid=0,"n/a",DGET(data,"Pctile70_hr24",_xlnm.Criteria)/IF(Result_type="Aggregate Impact",1,Bid/1000))</f>
        <v>226.3235</v>
      </c>
      <c r="N31" s="49">
        <f>IF(Bid=0,"n/a",DGET(data,"Pctile90_hr24",_xlnm.Criteria)/IF(Result_type="Aggregate Impact",1,Bid/1000))</f>
        <v>232.2431</v>
      </c>
    </row>
    <row r="32" spans="3:23" ht="49.5" customHeight="1" thickBot="1" x14ac:dyDescent="0.35">
      <c r="C32" s="5"/>
      <c r="D32" s="5"/>
      <c r="E32" s="17"/>
      <c r="F32" s="73" t="str">
        <f>"Estimated Reference
Energy Use
("&amp;IF(Result_type="Aggregate Impact","MWh)","kWh)")</f>
        <v>Estimated Reference
Energy Use
(MWh)</v>
      </c>
      <c r="G32" s="73" t="str">
        <f>"Observed 
Event Day Energy Use ("&amp;IF(Result_type="Aggregate Impact","MWh)","kWh)")</f>
        <v>Observed 
Event Day Energy Use (MWh)</v>
      </c>
      <c r="H32" s="73" t="str">
        <f>"Estimated 
Change in Energy Use ("&amp;IF(Result_type="Aggregate Impact","MWh)","kWh)")</f>
        <v>Estimated 
Change in Energy Use (MWh)</v>
      </c>
      <c r="I32" s="75" t="s">
        <v>191</v>
      </c>
      <c r="J32" s="53" t="str">
        <f>"Uncertainty Adjusted Impact ("&amp;IF(Result_type="Aggregate Impact","MWh/hour) - Percentiles","kWh/hour) - Percentiles")</f>
        <v>Uncertainty Adjusted Impact (MWh/hour) - Percentiles</v>
      </c>
      <c r="K32" s="53"/>
      <c r="L32" s="53"/>
      <c r="M32" s="53"/>
      <c r="N32" s="54"/>
    </row>
    <row r="33" spans="3:14" ht="16.5" x14ac:dyDescent="0.3">
      <c r="C33" s="5"/>
      <c r="D33" s="5"/>
      <c r="E33" s="58" t="s">
        <v>214</v>
      </c>
      <c r="F33" s="74"/>
      <c r="G33" s="74"/>
      <c r="H33" s="74"/>
      <c r="I33" s="74"/>
      <c r="J33" s="18" t="s">
        <v>11</v>
      </c>
      <c r="K33" s="18" t="s">
        <v>12</v>
      </c>
      <c r="L33" s="18" t="s">
        <v>13</v>
      </c>
      <c r="M33" s="18" t="s">
        <v>14</v>
      </c>
      <c r="N33" s="19" t="s">
        <v>15</v>
      </c>
    </row>
    <row r="34" spans="3:14" ht="17.25" thickBot="1" x14ac:dyDescent="0.35">
      <c r="C34" s="5"/>
      <c r="D34" s="5"/>
      <c r="E34" s="20" t="s">
        <v>16</v>
      </c>
      <c r="F34" s="21">
        <f>IF(Bid=0,"n/a",SUM(F8:F31))</f>
        <v>17958.073700000001</v>
      </c>
      <c r="G34" s="22">
        <f>IF(Bid=0,"n/a",SUM(G8:G31))</f>
        <v>13415.453260499997</v>
      </c>
      <c r="H34" s="22">
        <f>IF(Bid=0,"n/a",SUM(H8:H31))</f>
        <v>4542.6204395000004</v>
      </c>
      <c r="I34" s="23">
        <f>IF(Bid=0,"n/a",SUM(Lookups!B32:B55))</f>
        <v>0</v>
      </c>
      <c r="J34" s="23" t="s">
        <v>17</v>
      </c>
      <c r="K34" s="23" t="s">
        <v>17</v>
      </c>
      <c r="L34" s="23" t="s">
        <v>17</v>
      </c>
      <c r="M34" s="23" t="s">
        <v>17</v>
      </c>
      <c r="N34" s="61" t="s">
        <v>17</v>
      </c>
    </row>
    <row r="35" spans="3:14" ht="17.25" thickBot="1" x14ac:dyDescent="0.35">
      <c r="E35" s="20" t="s">
        <v>213</v>
      </c>
      <c r="F35" s="60">
        <f>IF(Bid=0,"n/a",Lookups!D56)</f>
        <v>755.06282499999998</v>
      </c>
      <c r="G35" s="23">
        <f>IF(Bid=0,"n/a",Lookups!E56)</f>
        <v>131.20867499999997</v>
      </c>
      <c r="H35" s="23">
        <f>IF(Bid=0,"n/a",Lookups!F56)</f>
        <v>623.85415</v>
      </c>
      <c r="I35" s="23">
        <f>IF(Bid=0,"n/a",Lookups!G56)</f>
        <v>0</v>
      </c>
      <c r="J35" s="23">
        <f>Lookups!R8</f>
        <v>613.82701392036904</v>
      </c>
      <c r="K35" s="23">
        <f>Lookups!S8</f>
        <v>619.75112719348715</v>
      </c>
      <c r="L35" s="23">
        <f>Lookups!T8</f>
        <v>623.85415</v>
      </c>
      <c r="M35" s="23">
        <f>Lookups!U8</f>
        <v>627.95717280651286</v>
      </c>
      <c r="N35" s="61">
        <f>Lookups!V8</f>
        <v>633.88128607963097</v>
      </c>
    </row>
    <row r="36" spans="3:14" ht="15" x14ac:dyDescent="0.25">
      <c r="E36" s="24"/>
      <c r="F36" s="39"/>
      <c r="G36" s="69" t="s">
        <v>235</v>
      </c>
      <c r="H36" s="70">
        <f>IF(Bid=0,"n/a",H35/F35)</f>
        <v>0.82622813538727724</v>
      </c>
      <c r="I36" s="39"/>
    </row>
    <row r="37" spans="3:14" x14ac:dyDescent="0.2">
      <c r="E37" s="24"/>
      <c r="F37" s="39"/>
      <c r="G37" s="39"/>
      <c r="H37" s="39"/>
      <c r="I37" s="40"/>
    </row>
    <row r="38" spans="3:14" x14ac:dyDescent="0.2">
      <c r="E38" s="24"/>
      <c r="F38" s="39"/>
      <c r="G38" s="39"/>
      <c r="H38" s="39"/>
      <c r="I38" s="39"/>
    </row>
    <row r="40" spans="3:14" x14ac:dyDescent="0.2">
      <c r="E40" s="24"/>
      <c r="F40" s="39"/>
      <c r="G40" s="39"/>
      <c r="H40" s="39"/>
      <c r="I40" s="40"/>
    </row>
  </sheetData>
  <mergeCells count="9">
    <mergeCell ref="F32:F33"/>
    <mergeCell ref="G32:G33"/>
    <mergeCell ref="H32:H33"/>
    <mergeCell ref="I32:I33"/>
    <mergeCell ref="E5:E7"/>
    <mergeCell ref="F5:F7"/>
    <mergeCell ref="G5:G7"/>
    <mergeCell ref="H5:H7"/>
    <mergeCell ref="I5:I7"/>
  </mergeCells>
  <phoneticPr fontId="2" type="noConversion"/>
  <conditionalFormatting sqref="A1:B1">
    <cfRule type="expression" dxfId="3" priority="41" stopIfTrue="1">
      <formula>$A$1&lt;&gt;""</formula>
    </cfRule>
  </conditionalFormatting>
  <conditionalFormatting sqref="C2">
    <cfRule type="expression" dxfId="2" priority="33">
      <formula>size_lca_flag=1</formula>
    </cfRule>
  </conditionalFormatting>
  <conditionalFormatting sqref="C1">
    <cfRule type="expression" dxfId="1" priority="22" stopIfTrue="1">
      <formula>$A$1&lt;&gt;""</formula>
    </cfRule>
  </conditionalFormatting>
  <dataValidations count="4">
    <dataValidation type="list" allowBlank="1" showInputMessage="1" showErrorMessage="1" sqref="B8">
      <formula1>lca_list</formula1>
    </dataValidation>
    <dataValidation type="list" allowBlank="1" showInputMessage="1" showErrorMessage="1" sqref="B5">
      <formula1>date_list</formula1>
    </dataValidation>
    <dataValidation type="list" allowBlank="1" showInputMessage="1" showErrorMessage="1" sqref="B4">
      <formula1>Result_type_list</formula1>
    </dataValidation>
    <dataValidation type="list" allowBlank="1" showInputMessage="1" showErrorMessage="1" sqref="B11">
      <formula1>notice_list</formula1>
    </dataValidation>
  </dataValidations>
  <pageMargins left="0.75" right="0.75" top="1" bottom="1" header="0.5" footer="0.5"/>
  <pageSetup scale="54" orientation="landscape" r:id="rId1"/>
  <headerFooter alignWithMargins="0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43" id="{E609E01C-C478-4F14-A9A0-A2F09152C0BA}">
            <xm:f>AND($E8&gt;=VLOOKUP(date,Lookups!$B$11:$D$16,3,FALSE),$E8&lt;=VLOOKUP(date,Lookups!$B$11:$E$16,4,FALSE))</xm:f>
            <x14:dxf>
              <fill>
                <patternFill>
                  <bgColor theme="3" tint="0.79998168889431442"/>
                </patternFill>
              </fill>
            </x14:dxf>
          </x14:cfRule>
          <xm:sqref>E8:N31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0"/>
  <sheetViews>
    <sheetView topLeftCell="F1" workbookViewId="0">
      <selection activeCell="S5" sqref="S5"/>
    </sheetView>
  </sheetViews>
  <sheetFormatPr defaultRowHeight="12.75" x14ac:dyDescent="0.2"/>
  <cols>
    <col min="1" max="1" width="16.85546875" customWidth="1"/>
    <col min="2" max="2" width="9.7109375" bestFit="1" customWidth="1"/>
    <col min="3" max="3" width="24.140625" bestFit="1" customWidth="1"/>
    <col min="4" max="4" width="17.140625" bestFit="1" customWidth="1"/>
    <col min="5" max="5" width="9.5703125" bestFit="1" customWidth="1"/>
    <col min="6" max="6" width="8.85546875" bestFit="1" customWidth="1"/>
    <col min="7" max="7" width="5.5703125" bestFit="1" customWidth="1"/>
    <col min="8" max="8" width="10.85546875" bestFit="1" customWidth="1"/>
    <col min="10" max="10" width="25.5703125" bestFit="1" customWidth="1"/>
    <col min="11" max="11" width="16" bestFit="1" customWidth="1"/>
    <col min="12" max="12" width="31" bestFit="1" customWidth="1"/>
    <col min="13" max="13" width="15.5703125" bestFit="1" customWidth="1"/>
    <col min="14" max="14" width="16.42578125" bestFit="1" customWidth="1"/>
    <col min="15" max="15" width="13.42578125" bestFit="1" customWidth="1"/>
  </cols>
  <sheetData>
    <row r="1" spans="1:22" x14ac:dyDescent="0.2">
      <c r="G1" s="1"/>
      <c r="H1" s="1"/>
    </row>
    <row r="3" spans="1:22" ht="15" x14ac:dyDescent="0.25">
      <c r="A3" s="26"/>
      <c r="B3" s="25" t="s">
        <v>203</v>
      </c>
      <c r="C3" s="25" t="s">
        <v>200</v>
      </c>
      <c r="E3" s="25"/>
      <c r="G3" s="64"/>
      <c r="J3" s="2" t="s">
        <v>207</v>
      </c>
      <c r="K3" s="11" t="s">
        <v>204</v>
      </c>
      <c r="L3" s="11" t="s">
        <v>205</v>
      </c>
      <c r="M3" s="11" t="s">
        <v>0</v>
      </c>
      <c r="N3" s="11" t="s">
        <v>206</v>
      </c>
      <c r="R3" s="72" t="s">
        <v>240</v>
      </c>
      <c r="S3">
        <v>7.8242158561679434</v>
      </c>
    </row>
    <row r="4" spans="1:22" x14ac:dyDescent="0.2">
      <c r="A4" s="28"/>
      <c r="B4" t="str">
        <f>date</f>
        <v>Typical Event Day</v>
      </c>
      <c r="C4" s="5" t="str">
        <f>lca</f>
        <v>All</v>
      </c>
      <c r="E4" s="5"/>
      <c r="G4" s="65"/>
      <c r="J4" t="s">
        <v>3</v>
      </c>
      <c r="K4" s="63">
        <v>41676</v>
      </c>
      <c r="L4" t="s">
        <v>1</v>
      </c>
      <c r="M4" t="s">
        <v>1</v>
      </c>
      <c r="N4" s="41" t="s">
        <v>1</v>
      </c>
      <c r="R4" s="72" t="s">
        <v>244</v>
      </c>
      <c r="S4">
        <f>IF(Result_type="Aggregate Impact",S3,1000*S3/Enrolled)</f>
        <v>7.8242158561679434</v>
      </c>
    </row>
    <row r="5" spans="1:22" ht="13.5" x14ac:dyDescent="0.25">
      <c r="A5" s="26"/>
      <c r="B5" s="26"/>
      <c r="C5" s="26"/>
      <c r="D5" s="26"/>
      <c r="E5" s="26"/>
      <c r="F5" s="26"/>
      <c r="G5" s="27"/>
      <c r="H5" s="27"/>
      <c r="J5" s="1" t="s">
        <v>208</v>
      </c>
      <c r="K5" s="63" t="s">
        <v>2</v>
      </c>
      <c r="L5" t="s">
        <v>193</v>
      </c>
      <c r="M5" t="s">
        <v>231</v>
      </c>
      <c r="N5" s="41" t="s">
        <v>201</v>
      </c>
      <c r="R5" s="41" t="s">
        <v>241</v>
      </c>
      <c r="S5">
        <f>IF(AND(lca="All"),1,0)</f>
        <v>1</v>
      </c>
    </row>
    <row r="6" spans="1:22" x14ac:dyDescent="0.2">
      <c r="A6" s="28"/>
      <c r="B6" s="28"/>
      <c r="C6" s="68" t="s">
        <v>230</v>
      </c>
      <c r="D6" s="29">
        <f>DGET(data,"enrolled",_xlnm.Criteria)</f>
        <v>620</v>
      </c>
      <c r="E6" s="28"/>
      <c r="F6" s="29"/>
      <c r="G6" s="29"/>
      <c r="H6" s="29"/>
      <c r="K6" s="63"/>
      <c r="L6" t="s">
        <v>194</v>
      </c>
      <c r="M6" t="s">
        <v>232</v>
      </c>
      <c r="N6" s="41" t="s">
        <v>202</v>
      </c>
    </row>
    <row r="7" spans="1:22" ht="13.5" x14ac:dyDescent="0.25">
      <c r="A7" s="26"/>
      <c r="C7" s="41" t="s">
        <v>209</v>
      </c>
      <c r="D7">
        <f>IF(COUNTIF(Table!B7:B9,"All")&lt;1,1,0)</f>
        <v>0</v>
      </c>
      <c r="K7" s="63"/>
      <c r="L7" t="s">
        <v>195</v>
      </c>
      <c r="M7" t="s">
        <v>233</v>
      </c>
      <c r="N7" s="42"/>
      <c r="R7">
        <v>0.1</v>
      </c>
      <c r="S7">
        <v>0.3</v>
      </c>
      <c r="T7">
        <v>0.5</v>
      </c>
      <c r="U7">
        <v>0.7</v>
      </c>
      <c r="V7">
        <v>0.9</v>
      </c>
    </row>
    <row r="8" spans="1:22" ht="13.5" x14ac:dyDescent="0.25">
      <c r="A8" s="27"/>
      <c r="C8" s="41" t="s">
        <v>236</v>
      </c>
      <c r="D8">
        <f>DGET(data,"called",_xlnm.Criteria)</f>
        <v>620</v>
      </c>
      <c r="K8" s="63"/>
      <c r="L8" t="s">
        <v>196</v>
      </c>
      <c r="N8" s="33"/>
      <c r="R8">
        <f>IF($S$5=0,"n/a",NORMINV(R7,Table!$H$35,Lookups!$S$4))</f>
        <v>613.82701392036904</v>
      </c>
      <c r="S8">
        <f>IF($S$5=0,"n/a",NORMINV(S7,Table!$H$35,Lookups!$S$4))</f>
        <v>619.75112719348715</v>
      </c>
      <c r="T8">
        <f>IF($S$5=0,"n/a",NORMINV(T7,Table!$H$35,Lookups!$S$4))</f>
        <v>623.85415</v>
      </c>
      <c r="U8">
        <f>IF($S$5=0,"n/a",NORMINV(U7,Table!$H$35,Lookups!$S$4))</f>
        <v>627.95717280651286</v>
      </c>
      <c r="V8">
        <f>IF($S$5=0,"n/a",NORMINV(V7,Table!$H$35,Lookups!$S$4))</f>
        <v>633.88128607963097</v>
      </c>
    </row>
    <row r="9" spans="1:22" x14ac:dyDescent="0.2">
      <c r="K9" s="63"/>
      <c r="L9" t="s">
        <v>197</v>
      </c>
      <c r="N9" s="33"/>
    </row>
    <row r="10" spans="1:22" x14ac:dyDescent="0.2">
      <c r="B10" t="s">
        <v>203</v>
      </c>
      <c r="C10" t="s">
        <v>210</v>
      </c>
      <c r="D10" t="s">
        <v>211</v>
      </c>
      <c r="E10" t="s">
        <v>212</v>
      </c>
      <c r="L10" t="s">
        <v>198</v>
      </c>
      <c r="N10" s="33"/>
    </row>
    <row r="11" spans="1:22" x14ac:dyDescent="0.2">
      <c r="B11" s="63">
        <v>41676</v>
      </c>
      <c r="D11">
        <v>16</v>
      </c>
      <c r="E11">
        <v>19</v>
      </c>
      <c r="F11" t="str">
        <f t="shared" ref="F11:F12" si="0">"Hours Ending "&amp;D11&amp;" to "&amp;E11</f>
        <v>Hours Ending 16 to 19</v>
      </c>
      <c r="L11" t="s">
        <v>199</v>
      </c>
      <c r="N11" s="33"/>
    </row>
    <row r="12" spans="1:22" x14ac:dyDescent="0.2">
      <c r="B12" s="63" t="s">
        <v>2</v>
      </c>
      <c r="D12">
        <v>16</v>
      </c>
      <c r="E12">
        <v>19</v>
      </c>
      <c r="F12" t="str">
        <f t="shared" si="0"/>
        <v>Hours Ending 16 to 19</v>
      </c>
    </row>
    <row r="13" spans="1:22" x14ac:dyDescent="0.2">
      <c r="B13" s="63"/>
    </row>
    <row r="14" spans="1:22" x14ac:dyDescent="0.2">
      <c r="B14" s="63"/>
    </row>
    <row r="15" spans="1:22" x14ac:dyDescent="0.2">
      <c r="B15" s="63"/>
    </row>
    <row r="16" spans="1:22" x14ac:dyDescent="0.2">
      <c r="B16" s="63"/>
    </row>
    <row r="17" spans="1:15" x14ac:dyDescent="0.2">
      <c r="A17" t="str">
        <f>B17&amp;C17</f>
        <v/>
      </c>
      <c r="B17" s="56"/>
    </row>
    <row r="18" spans="1:15" x14ac:dyDescent="0.2">
      <c r="A18" t="str">
        <f t="shared" ref="A18:A24" si="1">B18&amp;C18</f>
        <v/>
      </c>
      <c r="B18" s="56"/>
    </row>
    <row r="19" spans="1:15" x14ac:dyDescent="0.2">
      <c r="A19" t="str">
        <f t="shared" si="1"/>
        <v/>
      </c>
      <c r="B19" s="56"/>
      <c r="O19" s="33"/>
    </row>
    <row r="20" spans="1:15" x14ac:dyDescent="0.2">
      <c r="A20" t="str">
        <f t="shared" si="1"/>
        <v/>
      </c>
      <c r="B20" s="56"/>
      <c r="O20" s="33"/>
    </row>
    <row r="21" spans="1:15" x14ac:dyDescent="0.2">
      <c r="A21" t="str">
        <f t="shared" si="1"/>
        <v/>
      </c>
      <c r="B21" s="56"/>
      <c r="O21" s="33"/>
    </row>
    <row r="22" spans="1:15" x14ac:dyDescent="0.2">
      <c r="A22" t="str">
        <f t="shared" si="1"/>
        <v/>
      </c>
      <c r="B22" s="56"/>
      <c r="O22" s="33"/>
    </row>
    <row r="23" spans="1:15" x14ac:dyDescent="0.2">
      <c r="A23" t="str">
        <f t="shared" si="1"/>
        <v/>
      </c>
      <c r="B23" s="56"/>
      <c r="O23" s="33"/>
    </row>
    <row r="24" spans="1:15" x14ac:dyDescent="0.2">
      <c r="A24" t="str">
        <f t="shared" si="1"/>
        <v/>
      </c>
      <c r="B24" s="56"/>
      <c r="O24" s="33"/>
    </row>
    <row r="25" spans="1:15" x14ac:dyDescent="0.2">
      <c r="A25" t="str">
        <f>B25&amp;C25</f>
        <v/>
      </c>
      <c r="B25" s="57"/>
      <c r="O25" s="33"/>
    </row>
    <row r="26" spans="1:15" x14ac:dyDescent="0.2">
      <c r="A26" t="str">
        <f>B26&amp;C26</f>
        <v/>
      </c>
      <c r="B26" s="57"/>
    </row>
    <row r="27" spans="1:15" x14ac:dyDescent="0.2">
      <c r="A27" t="str">
        <f>B27&amp;C27</f>
        <v/>
      </c>
      <c r="B27" s="57"/>
    </row>
    <row r="28" spans="1:15" x14ac:dyDescent="0.2">
      <c r="A28" s="6"/>
      <c r="B28" s="6"/>
      <c r="C28" s="6"/>
      <c r="D28" s="6"/>
      <c r="E28" s="6"/>
      <c r="F28" s="6"/>
    </row>
    <row r="29" spans="1:15" x14ac:dyDescent="0.2">
      <c r="A29" s="6"/>
      <c r="B29" s="6"/>
      <c r="C29" s="6"/>
      <c r="D29" s="6"/>
      <c r="E29" s="6"/>
      <c r="F29" s="6"/>
    </row>
    <row r="30" spans="1:15" x14ac:dyDescent="0.2">
      <c r="A30" s="6"/>
      <c r="B30" s="6"/>
      <c r="C30" s="6"/>
      <c r="D30" s="6"/>
      <c r="E30" s="6"/>
      <c r="F30" s="6"/>
    </row>
    <row r="31" spans="1:15" x14ac:dyDescent="0.2">
      <c r="B31" s="46" t="s">
        <v>192</v>
      </c>
      <c r="C31" s="41" t="s">
        <v>226</v>
      </c>
      <c r="D31" s="41" t="s">
        <v>216</v>
      </c>
      <c r="E31" s="41" t="s">
        <v>217</v>
      </c>
      <c r="F31" s="41" t="s">
        <v>218</v>
      </c>
      <c r="G31" s="41" t="s">
        <v>224</v>
      </c>
      <c r="H31" s="41" t="s">
        <v>219</v>
      </c>
      <c r="I31" s="41" t="s">
        <v>220</v>
      </c>
      <c r="J31" s="41" t="s">
        <v>221</v>
      </c>
      <c r="K31" s="41" t="s">
        <v>222</v>
      </c>
      <c r="L31" s="41" t="s">
        <v>223</v>
      </c>
      <c r="M31" s="41" t="s">
        <v>227</v>
      </c>
    </row>
    <row r="32" spans="1:15" x14ac:dyDescent="0.2">
      <c r="A32">
        <v>1</v>
      </c>
      <c r="B32" s="47">
        <f>MAX(0,Table!I8-75)</f>
        <v>0</v>
      </c>
      <c r="C32" t="str">
        <f t="shared" ref="C32:C55" si="2">IF(AND(A32&gt;=VLOOKUP(date,$B$11:$D$27,3,FALSE),A32&lt;=VLOOKUP(date,$B$11:$E$27,4,FALSE)),1,"")</f>
        <v/>
      </c>
      <c r="D32" s="6" t="str">
        <f>IF($C32=1,Table!F8,"")</f>
        <v/>
      </c>
      <c r="E32" s="6" t="str">
        <f>IF($C32=1,Table!G8,"")</f>
        <v/>
      </c>
      <c r="F32" s="6" t="str">
        <f>IF($C32=1,Table!H8,"")</f>
        <v/>
      </c>
      <c r="G32" s="6" t="str">
        <f>IF($C32=1,B32,"")</f>
        <v/>
      </c>
      <c r="H32" s="6" t="str">
        <f>IF($C32=1,Table!J8,"")</f>
        <v/>
      </c>
      <c r="I32" s="6" t="str">
        <f>IF($C32=1,Table!K8,"")</f>
        <v/>
      </c>
      <c r="J32" s="6" t="str">
        <f>IF($C32=1,Table!L8,"")</f>
        <v/>
      </c>
      <c r="K32" s="6" t="str">
        <f>IF($C32=1,Table!M8,"")</f>
        <v/>
      </c>
      <c r="L32" s="6" t="str">
        <f>IF($C32=1,Table!N8,"")</f>
        <v/>
      </c>
      <c r="M32" s="39" t="str">
        <f>IF(C32=1,((Table!K8-Table!L8)/NORMSINV(0.3))^2,"")</f>
        <v/>
      </c>
    </row>
    <row r="33" spans="1:13" x14ac:dyDescent="0.2">
      <c r="A33">
        <f>A32+1</f>
        <v>2</v>
      </c>
      <c r="B33" s="47">
        <f>MAX(0,Table!I9-75)</f>
        <v>0</v>
      </c>
      <c r="C33" t="str">
        <f t="shared" si="2"/>
        <v/>
      </c>
      <c r="D33" s="6" t="str">
        <f>IF($C33=1,Table!F9,"")</f>
        <v/>
      </c>
      <c r="E33" s="6" t="str">
        <f>IF($C33=1,Table!G9,"")</f>
        <v/>
      </c>
      <c r="F33" s="6" t="str">
        <f>IF($C33=1,Table!H9,"")</f>
        <v/>
      </c>
      <c r="G33" s="6" t="str">
        <f t="shared" ref="G33:G55" si="3">IF($C33=1,B33,"")</f>
        <v/>
      </c>
      <c r="H33" s="6" t="str">
        <f>IF($C33=1,Table!J9,"")</f>
        <v/>
      </c>
      <c r="I33" s="6" t="str">
        <f>IF($C33=1,Table!K9,"")</f>
        <v/>
      </c>
      <c r="J33" s="6" t="str">
        <f>IF($C33=1,Table!L9,"")</f>
        <v/>
      </c>
      <c r="K33" s="6" t="str">
        <f>IF($C33=1,Table!M9,"")</f>
        <v/>
      </c>
      <c r="L33" s="6" t="str">
        <f>IF($C33=1,Table!N9,"")</f>
        <v/>
      </c>
      <c r="M33" s="39" t="str">
        <f>IF(C33=1,((Table!K9-Table!L9)/NORMSINV(0.3))^2,"")</f>
        <v/>
      </c>
    </row>
    <row r="34" spans="1:13" x14ac:dyDescent="0.2">
      <c r="A34">
        <f t="shared" ref="A34:A55" si="4">A33+1</f>
        <v>3</v>
      </c>
      <c r="B34" s="47">
        <f>MAX(0,Table!I10-75)</f>
        <v>0</v>
      </c>
      <c r="C34" t="str">
        <f t="shared" si="2"/>
        <v/>
      </c>
      <c r="D34" s="6" t="str">
        <f>IF($C34=1,Table!F10,"")</f>
        <v/>
      </c>
      <c r="E34" s="6" t="str">
        <f>IF($C34=1,Table!G10,"")</f>
        <v/>
      </c>
      <c r="F34" s="6" t="str">
        <f>IF($C34=1,Table!H10,"")</f>
        <v/>
      </c>
      <c r="G34" s="6" t="str">
        <f t="shared" si="3"/>
        <v/>
      </c>
      <c r="H34" s="6" t="str">
        <f>IF($C34=1,Table!J10,"")</f>
        <v/>
      </c>
      <c r="I34" s="6" t="str">
        <f>IF($C34=1,Table!K10,"")</f>
        <v/>
      </c>
      <c r="J34" s="6" t="str">
        <f>IF($C34=1,Table!L10,"")</f>
        <v/>
      </c>
      <c r="K34" s="6" t="str">
        <f>IF($C34=1,Table!M10,"")</f>
        <v/>
      </c>
      <c r="L34" s="6" t="str">
        <f>IF($C34=1,Table!N10,"")</f>
        <v/>
      </c>
      <c r="M34" s="39" t="str">
        <f>IF(C34=1,((Table!K10-Table!L10)/NORMSINV(0.3))^2,"")</f>
        <v/>
      </c>
    </row>
    <row r="35" spans="1:13" x14ac:dyDescent="0.2">
      <c r="A35">
        <f t="shared" si="4"/>
        <v>4</v>
      </c>
      <c r="B35" s="47">
        <f>MAX(0,Table!I11-75)</f>
        <v>0</v>
      </c>
      <c r="C35" t="str">
        <f t="shared" si="2"/>
        <v/>
      </c>
      <c r="D35" s="6" t="str">
        <f>IF($C35=1,Table!F11,"")</f>
        <v/>
      </c>
      <c r="E35" s="6" t="str">
        <f>IF($C35=1,Table!G11,"")</f>
        <v/>
      </c>
      <c r="F35" s="6" t="str">
        <f>IF($C35=1,Table!H11,"")</f>
        <v/>
      </c>
      <c r="G35" s="6" t="str">
        <f t="shared" si="3"/>
        <v/>
      </c>
      <c r="H35" s="6" t="str">
        <f>IF($C35=1,Table!J11,"")</f>
        <v/>
      </c>
      <c r="I35" s="6" t="str">
        <f>IF($C35=1,Table!K11,"")</f>
        <v/>
      </c>
      <c r="J35" s="6" t="str">
        <f>IF($C35=1,Table!L11,"")</f>
        <v/>
      </c>
      <c r="K35" s="6" t="str">
        <f>IF($C35=1,Table!M11,"")</f>
        <v/>
      </c>
      <c r="L35" s="6" t="str">
        <f>IF($C35=1,Table!N11,"")</f>
        <v/>
      </c>
      <c r="M35" s="39" t="str">
        <f>IF(C35=1,((Table!K11-Table!L11)/NORMSINV(0.3))^2,"")</f>
        <v/>
      </c>
    </row>
    <row r="36" spans="1:13" x14ac:dyDescent="0.2">
      <c r="A36">
        <f t="shared" si="4"/>
        <v>5</v>
      </c>
      <c r="B36" s="47">
        <f>MAX(0,Table!I12-75)</f>
        <v>0</v>
      </c>
      <c r="C36" t="str">
        <f t="shared" si="2"/>
        <v/>
      </c>
      <c r="D36" s="6" t="str">
        <f>IF($C36=1,Table!F12,"")</f>
        <v/>
      </c>
      <c r="E36" s="6" t="str">
        <f>IF($C36=1,Table!G12,"")</f>
        <v/>
      </c>
      <c r="F36" s="6" t="str">
        <f>IF($C36=1,Table!H12,"")</f>
        <v/>
      </c>
      <c r="G36" s="6" t="str">
        <f t="shared" si="3"/>
        <v/>
      </c>
      <c r="H36" s="6" t="str">
        <f>IF($C36=1,Table!J12,"")</f>
        <v/>
      </c>
      <c r="I36" s="6" t="str">
        <f>IF($C36=1,Table!K12,"")</f>
        <v/>
      </c>
      <c r="J36" s="6" t="str">
        <f>IF($C36=1,Table!L12,"")</f>
        <v/>
      </c>
      <c r="K36" s="6" t="str">
        <f>IF($C36=1,Table!M12,"")</f>
        <v/>
      </c>
      <c r="L36" s="6" t="str">
        <f>IF($C36=1,Table!N12,"")</f>
        <v/>
      </c>
      <c r="M36" s="39" t="str">
        <f>IF(C36=1,((Table!K12-Table!L12)/NORMSINV(0.3))^2,"")</f>
        <v/>
      </c>
    </row>
    <row r="37" spans="1:13" x14ac:dyDescent="0.2">
      <c r="A37">
        <f t="shared" si="4"/>
        <v>6</v>
      </c>
      <c r="B37" s="47">
        <f>MAX(0,Table!I13-75)</f>
        <v>0</v>
      </c>
      <c r="C37" t="str">
        <f t="shared" si="2"/>
        <v/>
      </c>
      <c r="D37" s="6" t="str">
        <f>IF($C37=1,Table!F13,"")</f>
        <v/>
      </c>
      <c r="E37" s="6" t="str">
        <f>IF($C37=1,Table!G13,"")</f>
        <v/>
      </c>
      <c r="F37" s="6" t="str">
        <f>IF($C37=1,Table!H13,"")</f>
        <v/>
      </c>
      <c r="G37" s="6" t="str">
        <f t="shared" si="3"/>
        <v/>
      </c>
      <c r="H37" s="6" t="str">
        <f>IF($C37=1,Table!J13,"")</f>
        <v/>
      </c>
      <c r="I37" s="6" t="str">
        <f>IF($C37=1,Table!K13,"")</f>
        <v/>
      </c>
      <c r="J37" s="6" t="str">
        <f>IF($C37=1,Table!L13,"")</f>
        <v/>
      </c>
      <c r="K37" s="6" t="str">
        <f>IF($C37=1,Table!M13,"")</f>
        <v/>
      </c>
      <c r="L37" s="6" t="str">
        <f>IF($C37=1,Table!N13,"")</f>
        <v/>
      </c>
      <c r="M37" s="39" t="str">
        <f>IF(C37=1,((Table!K13-Table!L13)/NORMSINV(0.3))^2,"")</f>
        <v/>
      </c>
    </row>
    <row r="38" spans="1:13" x14ac:dyDescent="0.2">
      <c r="A38">
        <f t="shared" si="4"/>
        <v>7</v>
      </c>
      <c r="B38" s="47">
        <f>MAX(0,Table!I14-75)</f>
        <v>0</v>
      </c>
      <c r="C38" t="str">
        <f t="shared" si="2"/>
        <v/>
      </c>
      <c r="D38" s="6" t="str">
        <f>IF($C38=1,Table!F14,"")</f>
        <v/>
      </c>
      <c r="E38" s="6" t="str">
        <f>IF($C38=1,Table!G14,"")</f>
        <v/>
      </c>
      <c r="F38" s="6" t="str">
        <f>IF($C38=1,Table!H14,"")</f>
        <v/>
      </c>
      <c r="G38" s="6" t="str">
        <f t="shared" si="3"/>
        <v/>
      </c>
      <c r="H38" s="6" t="str">
        <f>IF($C38=1,Table!J14,"")</f>
        <v/>
      </c>
      <c r="I38" s="6" t="str">
        <f>IF($C38=1,Table!K14,"")</f>
        <v/>
      </c>
      <c r="J38" s="6" t="str">
        <f>IF($C38=1,Table!L14,"")</f>
        <v/>
      </c>
      <c r="K38" s="6" t="str">
        <f>IF($C38=1,Table!M14,"")</f>
        <v/>
      </c>
      <c r="L38" s="6" t="str">
        <f>IF($C38=1,Table!N14,"")</f>
        <v/>
      </c>
      <c r="M38" s="39" t="str">
        <f>IF(C38=1,((Table!K14-Table!L14)/NORMSINV(0.3))^2,"")</f>
        <v/>
      </c>
    </row>
    <row r="39" spans="1:13" x14ac:dyDescent="0.2">
      <c r="A39">
        <f t="shared" si="4"/>
        <v>8</v>
      </c>
      <c r="B39" s="47">
        <f>MAX(0,Table!I15-75)</f>
        <v>0</v>
      </c>
      <c r="C39" t="str">
        <f t="shared" si="2"/>
        <v/>
      </c>
      <c r="D39" s="6" t="str">
        <f>IF($C39=1,Table!F15,"")</f>
        <v/>
      </c>
      <c r="E39" s="6" t="str">
        <f>IF($C39=1,Table!G15,"")</f>
        <v/>
      </c>
      <c r="F39" s="6" t="str">
        <f>IF($C39=1,Table!H15,"")</f>
        <v/>
      </c>
      <c r="G39" s="6" t="str">
        <f t="shared" si="3"/>
        <v/>
      </c>
      <c r="H39" s="6" t="str">
        <f>IF($C39=1,Table!J15,"")</f>
        <v/>
      </c>
      <c r="I39" s="6" t="str">
        <f>IF($C39=1,Table!K15,"")</f>
        <v/>
      </c>
      <c r="J39" s="6" t="str">
        <f>IF($C39=1,Table!L15,"")</f>
        <v/>
      </c>
      <c r="K39" s="6" t="str">
        <f>IF($C39=1,Table!M15,"")</f>
        <v/>
      </c>
      <c r="L39" s="6" t="str">
        <f>IF($C39=1,Table!N15,"")</f>
        <v/>
      </c>
      <c r="M39" s="39" t="str">
        <f>IF(C39=1,((Table!K15-Table!L15)/NORMSINV(0.3))^2,"")</f>
        <v/>
      </c>
    </row>
    <row r="40" spans="1:13" x14ac:dyDescent="0.2">
      <c r="A40">
        <f t="shared" si="4"/>
        <v>9</v>
      </c>
      <c r="B40" s="47">
        <f>MAX(0,Table!I16-75)</f>
        <v>0</v>
      </c>
      <c r="C40" t="str">
        <f t="shared" si="2"/>
        <v/>
      </c>
      <c r="D40" s="6" t="str">
        <f>IF($C40=1,Table!F16,"")</f>
        <v/>
      </c>
      <c r="E40" s="6" t="str">
        <f>IF($C40=1,Table!G16,"")</f>
        <v/>
      </c>
      <c r="F40" s="6" t="str">
        <f>IF($C40=1,Table!H16,"")</f>
        <v/>
      </c>
      <c r="G40" s="6" t="str">
        <f t="shared" si="3"/>
        <v/>
      </c>
      <c r="H40" s="6" t="str">
        <f>IF($C40=1,Table!J16,"")</f>
        <v/>
      </c>
      <c r="I40" s="6" t="str">
        <f>IF($C40=1,Table!K16,"")</f>
        <v/>
      </c>
      <c r="J40" s="6" t="str">
        <f>IF($C40=1,Table!L16,"")</f>
        <v/>
      </c>
      <c r="K40" s="6" t="str">
        <f>IF($C40=1,Table!M16,"")</f>
        <v/>
      </c>
      <c r="L40" s="6" t="str">
        <f>IF($C40=1,Table!N16,"")</f>
        <v/>
      </c>
      <c r="M40" s="39" t="str">
        <f>IF(C40=1,((Table!K16-Table!L16)/NORMSINV(0.3))^2,"")</f>
        <v/>
      </c>
    </row>
    <row r="41" spans="1:13" x14ac:dyDescent="0.2">
      <c r="A41">
        <f t="shared" si="4"/>
        <v>10</v>
      </c>
      <c r="B41" s="47">
        <f>MAX(0,Table!I17-75)</f>
        <v>0</v>
      </c>
      <c r="C41" t="str">
        <f t="shared" si="2"/>
        <v/>
      </c>
      <c r="D41" s="6" t="str">
        <f>IF($C41=1,Table!F17,"")</f>
        <v/>
      </c>
      <c r="E41" s="6" t="str">
        <f>IF($C41=1,Table!G17,"")</f>
        <v/>
      </c>
      <c r="F41" s="6" t="str">
        <f>IF($C41=1,Table!H17,"")</f>
        <v/>
      </c>
      <c r="G41" s="6" t="str">
        <f t="shared" si="3"/>
        <v/>
      </c>
      <c r="H41" s="6" t="str">
        <f>IF($C41=1,Table!J17,"")</f>
        <v/>
      </c>
      <c r="I41" s="6" t="str">
        <f>IF($C41=1,Table!K17,"")</f>
        <v/>
      </c>
      <c r="J41" s="6" t="str">
        <f>IF($C41=1,Table!L17,"")</f>
        <v/>
      </c>
      <c r="K41" s="6" t="str">
        <f>IF($C41=1,Table!M17,"")</f>
        <v/>
      </c>
      <c r="L41" s="6" t="str">
        <f>IF($C41=1,Table!N17,"")</f>
        <v/>
      </c>
      <c r="M41" s="39" t="str">
        <f>IF(C41=1,((Table!K17-Table!L17)/NORMSINV(0.3))^2,"")</f>
        <v/>
      </c>
    </row>
    <row r="42" spans="1:13" x14ac:dyDescent="0.2">
      <c r="A42">
        <f t="shared" si="4"/>
        <v>11</v>
      </c>
      <c r="B42" s="47">
        <f>MAX(0,Table!I18-75)</f>
        <v>0</v>
      </c>
      <c r="C42" t="str">
        <f t="shared" si="2"/>
        <v/>
      </c>
      <c r="D42" s="6" t="str">
        <f>IF($C42=1,Table!F18,"")</f>
        <v/>
      </c>
      <c r="E42" s="6" t="str">
        <f>IF($C42=1,Table!G18,"")</f>
        <v/>
      </c>
      <c r="F42" s="6" t="str">
        <f>IF($C42=1,Table!H18,"")</f>
        <v/>
      </c>
      <c r="G42" s="6" t="str">
        <f t="shared" si="3"/>
        <v/>
      </c>
      <c r="H42" s="6" t="str">
        <f>IF($C42=1,Table!J18,"")</f>
        <v/>
      </c>
      <c r="I42" s="6" t="str">
        <f>IF($C42=1,Table!K18,"")</f>
        <v/>
      </c>
      <c r="J42" s="6" t="str">
        <f>IF($C42=1,Table!L18,"")</f>
        <v/>
      </c>
      <c r="K42" s="6" t="str">
        <f>IF($C42=1,Table!M18,"")</f>
        <v/>
      </c>
      <c r="L42" s="6" t="str">
        <f>IF($C42=1,Table!N18,"")</f>
        <v/>
      </c>
      <c r="M42" s="39" t="str">
        <f>IF(C42=1,((Table!K18-Table!L18)/NORMSINV(0.3))^2,"")</f>
        <v/>
      </c>
    </row>
    <row r="43" spans="1:13" x14ac:dyDescent="0.2">
      <c r="A43">
        <f t="shared" si="4"/>
        <v>12</v>
      </c>
      <c r="B43" s="47">
        <f>MAX(0,Table!I19-75)</f>
        <v>0</v>
      </c>
      <c r="C43" t="str">
        <f t="shared" si="2"/>
        <v/>
      </c>
      <c r="D43" s="6" t="str">
        <f>IF($C43=1,Table!F19,"")</f>
        <v/>
      </c>
      <c r="E43" s="6" t="str">
        <f>IF($C43=1,Table!G19,"")</f>
        <v/>
      </c>
      <c r="F43" s="6" t="str">
        <f>IF($C43=1,Table!H19,"")</f>
        <v/>
      </c>
      <c r="G43" s="6" t="str">
        <f t="shared" si="3"/>
        <v/>
      </c>
      <c r="H43" s="6" t="str">
        <f>IF($C43=1,Table!J19,"")</f>
        <v/>
      </c>
      <c r="I43" s="6" t="str">
        <f>IF($C43=1,Table!K19,"")</f>
        <v/>
      </c>
      <c r="J43" s="6" t="str">
        <f>IF($C43=1,Table!L19,"")</f>
        <v/>
      </c>
      <c r="K43" s="6" t="str">
        <f>IF($C43=1,Table!M19,"")</f>
        <v/>
      </c>
      <c r="L43" s="6" t="str">
        <f>IF($C43=1,Table!N19,"")</f>
        <v/>
      </c>
      <c r="M43" s="39" t="str">
        <f>IF(C43=1,((Table!K19-Table!L19)/NORMSINV(0.3))^2,"")</f>
        <v/>
      </c>
    </row>
    <row r="44" spans="1:13" x14ac:dyDescent="0.2">
      <c r="A44">
        <f t="shared" si="4"/>
        <v>13</v>
      </c>
      <c r="B44" s="47">
        <f>MAX(0,Table!I20-75)</f>
        <v>0</v>
      </c>
      <c r="C44" t="str">
        <f t="shared" si="2"/>
        <v/>
      </c>
      <c r="D44" s="6" t="str">
        <f>IF($C44=1,Table!F20,"")</f>
        <v/>
      </c>
      <c r="E44" s="6" t="str">
        <f>IF($C44=1,Table!G20,"")</f>
        <v/>
      </c>
      <c r="F44" s="6" t="str">
        <f>IF($C44=1,Table!H20,"")</f>
        <v/>
      </c>
      <c r="G44" s="6" t="str">
        <f t="shared" si="3"/>
        <v/>
      </c>
      <c r="H44" s="6" t="str">
        <f>IF($C44=1,Table!J20,"")</f>
        <v/>
      </c>
      <c r="I44" s="6" t="str">
        <f>IF($C44=1,Table!K20,"")</f>
        <v/>
      </c>
      <c r="J44" s="6" t="str">
        <f>IF($C44=1,Table!L20,"")</f>
        <v/>
      </c>
      <c r="K44" s="6" t="str">
        <f>IF($C44=1,Table!M20,"")</f>
        <v/>
      </c>
      <c r="L44" s="6" t="str">
        <f>IF($C44=1,Table!N20,"")</f>
        <v/>
      </c>
      <c r="M44" s="39" t="str">
        <f>IF(C44=1,((Table!K20-Table!L20)/NORMSINV(0.3))^2,"")</f>
        <v/>
      </c>
    </row>
    <row r="45" spans="1:13" x14ac:dyDescent="0.2">
      <c r="A45">
        <f t="shared" si="4"/>
        <v>14</v>
      </c>
      <c r="B45" s="47">
        <f>MAX(0,Table!I21-75)</f>
        <v>0</v>
      </c>
      <c r="C45" t="str">
        <f t="shared" si="2"/>
        <v/>
      </c>
      <c r="D45" s="6" t="str">
        <f>IF($C45=1,Table!F21,"")</f>
        <v/>
      </c>
      <c r="E45" s="6" t="str">
        <f>IF($C45=1,Table!G21,"")</f>
        <v/>
      </c>
      <c r="F45" s="6" t="str">
        <f>IF($C45=1,Table!H21,"")</f>
        <v/>
      </c>
      <c r="G45" s="6" t="str">
        <f t="shared" si="3"/>
        <v/>
      </c>
      <c r="H45" s="6" t="str">
        <f>IF($C45=1,Table!J21,"")</f>
        <v/>
      </c>
      <c r="I45" s="6" t="str">
        <f>IF($C45=1,Table!K21,"")</f>
        <v/>
      </c>
      <c r="J45" s="6" t="str">
        <f>IF($C45=1,Table!L21,"")</f>
        <v/>
      </c>
      <c r="K45" s="6" t="str">
        <f>IF($C45=1,Table!M21,"")</f>
        <v/>
      </c>
      <c r="L45" s="6" t="str">
        <f>IF($C45=1,Table!N21,"")</f>
        <v/>
      </c>
      <c r="M45" s="39" t="str">
        <f>IF(C45=1,((Table!K21-Table!L21)/NORMSINV(0.3))^2,"")</f>
        <v/>
      </c>
    </row>
    <row r="46" spans="1:13" x14ac:dyDescent="0.2">
      <c r="A46">
        <f t="shared" si="4"/>
        <v>15</v>
      </c>
      <c r="B46" s="47">
        <f>MAX(0,Table!I22-75)</f>
        <v>0</v>
      </c>
      <c r="C46" t="str">
        <f t="shared" si="2"/>
        <v/>
      </c>
      <c r="D46" s="6" t="str">
        <f>IF($C46=1,Table!F22,"")</f>
        <v/>
      </c>
      <c r="E46" s="6" t="str">
        <f>IF($C46=1,Table!G22,"")</f>
        <v/>
      </c>
      <c r="F46" s="6" t="str">
        <f>IF($C46=1,Table!H22,"")</f>
        <v/>
      </c>
      <c r="G46" s="6" t="str">
        <f t="shared" si="3"/>
        <v/>
      </c>
      <c r="H46" s="6" t="str">
        <f>IF($C46=1,Table!J22,"")</f>
        <v/>
      </c>
      <c r="I46" s="6" t="str">
        <f>IF($C46=1,Table!K22,"")</f>
        <v/>
      </c>
      <c r="J46" s="6" t="str">
        <f>IF($C46=1,Table!L22,"")</f>
        <v/>
      </c>
      <c r="K46" s="6" t="str">
        <f>IF($C46=1,Table!M22,"")</f>
        <v/>
      </c>
      <c r="L46" s="6" t="str">
        <f>IF($C46=1,Table!N22,"")</f>
        <v/>
      </c>
      <c r="M46" s="39" t="str">
        <f>IF(C46=1,((Table!K22-Table!L22)/NORMSINV(0.3))^2,"")</f>
        <v/>
      </c>
    </row>
    <row r="47" spans="1:13" x14ac:dyDescent="0.2">
      <c r="A47">
        <f t="shared" si="4"/>
        <v>16</v>
      </c>
      <c r="B47" s="47">
        <f>MAX(0,Table!I23-75)</f>
        <v>0</v>
      </c>
      <c r="C47">
        <f t="shared" si="2"/>
        <v>1</v>
      </c>
      <c r="D47" s="6">
        <f>IF($C47=1,Table!F23,"")</f>
        <v>742.19069999999999</v>
      </c>
      <c r="E47" s="6">
        <f>IF($C47=1,Table!G23,"")</f>
        <v>142.18139999999994</v>
      </c>
      <c r="F47" s="6">
        <f>IF($C47=1,Table!H23,"")</f>
        <v>600.00930000000005</v>
      </c>
      <c r="G47" s="6">
        <f t="shared" si="3"/>
        <v>0</v>
      </c>
      <c r="H47" s="6">
        <f>IF($C47=1,Table!J23,"")</f>
        <v>585.77170000000001</v>
      </c>
      <c r="I47" s="6">
        <f>IF($C47=1,Table!K23,"")</f>
        <v>594.18330000000003</v>
      </c>
      <c r="J47" s="6">
        <f>IF($C47=1,Table!L23,"")</f>
        <v>600.00930000000005</v>
      </c>
      <c r="K47" s="6">
        <f>IF($C47=1,Table!M23,"")</f>
        <v>605.83519999999999</v>
      </c>
      <c r="L47" s="6">
        <f>IF($C47=1,Table!N23,"")</f>
        <v>614.24689999999998</v>
      </c>
      <c r="M47" s="39">
        <f>IF(C47=1,((Table!K23-Table!L23)/NORMSINV(0.3))^2,"")</f>
        <v>123.42829940509314</v>
      </c>
    </row>
    <row r="48" spans="1:13" x14ac:dyDescent="0.2">
      <c r="A48">
        <f t="shared" si="4"/>
        <v>17</v>
      </c>
      <c r="B48" s="47">
        <f>MAX(0,Table!I24-75)</f>
        <v>0</v>
      </c>
      <c r="C48">
        <f t="shared" si="2"/>
        <v>1</v>
      </c>
      <c r="D48" s="6">
        <f>IF($C48=1,Table!F24,"")</f>
        <v>744.90859999999998</v>
      </c>
      <c r="E48" s="6">
        <f>IF($C48=1,Table!G24,"")</f>
        <v>134.29700000000003</v>
      </c>
      <c r="F48" s="6">
        <f>IF($C48=1,Table!H24,"")</f>
        <v>610.61159999999995</v>
      </c>
      <c r="G48" s="6">
        <f t="shared" si="3"/>
        <v>0</v>
      </c>
      <c r="H48" s="6">
        <f>IF($C48=1,Table!J24,"")</f>
        <v>596.55650000000003</v>
      </c>
      <c r="I48" s="6">
        <f>IF($C48=1,Table!K24,"")</f>
        <v>604.86040000000003</v>
      </c>
      <c r="J48" s="6">
        <f>IF($C48=1,Table!L24,"")</f>
        <v>610.61159999999995</v>
      </c>
      <c r="K48" s="6">
        <f>IF($C48=1,Table!M24,"")</f>
        <v>616.36279999999999</v>
      </c>
      <c r="L48" s="6">
        <f>IF($C48=1,Table!N24,"")</f>
        <v>624.66669999999999</v>
      </c>
      <c r="M48" s="39">
        <f>IF(C48=1,((Table!K24-Table!L24)/NORMSINV(0.3))^2,"")</f>
        <v>120.27925402967372</v>
      </c>
    </row>
    <row r="49" spans="1:13" x14ac:dyDescent="0.2">
      <c r="A49">
        <f t="shared" si="4"/>
        <v>18</v>
      </c>
      <c r="B49" s="47">
        <f>MAX(0,Table!I25-75)</f>
        <v>0</v>
      </c>
      <c r="C49">
        <f t="shared" si="2"/>
        <v>1</v>
      </c>
      <c r="D49" s="6">
        <f>IF($C49=1,Table!F25,"")</f>
        <v>763.13149999999996</v>
      </c>
      <c r="E49" s="6">
        <f>IF($C49=1,Table!G25,"")</f>
        <v>123.93499999999995</v>
      </c>
      <c r="F49" s="6">
        <f>IF($C49=1,Table!H25,"")</f>
        <v>639.19650000000001</v>
      </c>
      <c r="G49" s="6">
        <f t="shared" si="3"/>
        <v>0</v>
      </c>
      <c r="H49" s="6">
        <f>IF($C49=1,Table!J25,"")</f>
        <v>625.79639999999995</v>
      </c>
      <c r="I49" s="6">
        <f>IF($C49=1,Table!K25,"")</f>
        <v>633.7133</v>
      </c>
      <c r="J49" s="6">
        <f>IF($C49=1,Table!L25,"")</f>
        <v>639.19650000000001</v>
      </c>
      <c r="K49" s="6">
        <f>IF($C49=1,Table!M25,"")</f>
        <v>644.67960000000005</v>
      </c>
      <c r="L49" s="6">
        <f>IF($C49=1,Table!N25,"")</f>
        <v>652.59649999999999</v>
      </c>
      <c r="M49" s="39">
        <f>IF(C49=1,((Table!K25-Table!L25)/NORMSINV(0.3))^2,"")</f>
        <v>109.33065725106992</v>
      </c>
    </row>
    <row r="50" spans="1:13" x14ac:dyDescent="0.2">
      <c r="A50">
        <f t="shared" si="4"/>
        <v>19</v>
      </c>
      <c r="B50" s="47">
        <f>MAX(0,Table!I26-75)</f>
        <v>0</v>
      </c>
      <c r="C50">
        <f t="shared" si="2"/>
        <v>1</v>
      </c>
      <c r="D50" s="6">
        <f>IF($C50=1,Table!F26,"")</f>
        <v>770.02049999999997</v>
      </c>
      <c r="E50" s="6">
        <f>IF($C50=1,Table!G26,"")</f>
        <v>124.42129999999997</v>
      </c>
      <c r="F50" s="6">
        <f>IF($C50=1,Table!H26,"")</f>
        <v>645.5992</v>
      </c>
      <c r="G50" s="6">
        <f t="shared" si="3"/>
        <v>0</v>
      </c>
      <c r="H50" s="6">
        <f>IF($C50=1,Table!J26,"")</f>
        <v>629.56690000000003</v>
      </c>
      <c r="I50" s="6">
        <f>IF($C50=1,Table!K26,"")</f>
        <v>639.03890000000001</v>
      </c>
      <c r="J50" s="6">
        <f>IF($C50=1,Table!L26,"")</f>
        <v>645.5992</v>
      </c>
      <c r="K50" s="6">
        <f>IF($C50=1,Table!M26,"")</f>
        <v>652.15949999999998</v>
      </c>
      <c r="L50" s="6">
        <f>IF($C50=1,Table!N26,"")</f>
        <v>661.63160000000005</v>
      </c>
      <c r="M50" s="39">
        <f>IF(C50=1,((Table!K26-Table!L26)/NORMSINV(0.3))^2,"")</f>
        <v>156.50246583858888</v>
      </c>
    </row>
    <row r="51" spans="1:13" x14ac:dyDescent="0.2">
      <c r="A51">
        <f t="shared" si="4"/>
        <v>20</v>
      </c>
      <c r="B51" s="47">
        <f>MAX(0,Table!I27-75)</f>
        <v>0</v>
      </c>
      <c r="C51" t="str">
        <f t="shared" si="2"/>
        <v/>
      </c>
      <c r="D51" s="6" t="str">
        <f>IF($C51=1,Table!F27,"")</f>
        <v/>
      </c>
      <c r="E51" s="6" t="str">
        <f>IF($C51=1,Table!G27,"")</f>
        <v/>
      </c>
      <c r="F51" s="6" t="str">
        <f>IF($C51=1,Table!H27,"")</f>
        <v/>
      </c>
      <c r="G51" s="6" t="str">
        <f t="shared" si="3"/>
        <v/>
      </c>
      <c r="H51" s="6" t="str">
        <f>IF($C51=1,Table!J27,"")</f>
        <v/>
      </c>
      <c r="I51" s="6" t="str">
        <f>IF($C51=1,Table!K27,"")</f>
        <v/>
      </c>
      <c r="J51" s="6" t="str">
        <f>IF($C51=1,Table!L27,"")</f>
        <v/>
      </c>
      <c r="K51" s="6" t="str">
        <f>IF($C51=1,Table!M27,"")</f>
        <v/>
      </c>
      <c r="L51" s="6" t="str">
        <f>IF($C51=1,Table!N27,"")</f>
        <v/>
      </c>
      <c r="M51" s="39" t="str">
        <f>IF(C51=1,((Table!K27-Table!L27)/NORMSINV(0.3))^2,"")</f>
        <v/>
      </c>
    </row>
    <row r="52" spans="1:13" x14ac:dyDescent="0.2">
      <c r="A52">
        <f t="shared" si="4"/>
        <v>21</v>
      </c>
      <c r="B52" s="47">
        <f>MAX(0,Table!I28-75)</f>
        <v>0</v>
      </c>
      <c r="C52" t="str">
        <f t="shared" si="2"/>
        <v/>
      </c>
      <c r="D52" s="6" t="str">
        <f>IF($C52=1,Table!F28,"")</f>
        <v/>
      </c>
      <c r="E52" s="6" t="str">
        <f>IF($C52=1,Table!G28,"")</f>
        <v/>
      </c>
      <c r="F52" s="6" t="str">
        <f>IF($C52=1,Table!H28,"")</f>
        <v/>
      </c>
      <c r="G52" s="6" t="str">
        <f t="shared" si="3"/>
        <v/>
      </c>
      <c r="H52" s="6" t="str">
        <f>IF($C52=1,Table!J28,"")</f>
        <v/>
      </c>
      <c r="I52" s="6" t="str">
        <f>IF($C52=1,Table!K28,"")</f>
        <v/>
      </c>
      <c r="J52" s="6" t="str">
        <f>IF($C52=1,Table!L28,"")</f>
        <v/>
      </c>
      <c r="K52" s="6" t="str">
        <f>IF($C52=1,Table!M28,"")</f>
        <v/>
      </c>
      <c r="L52" s="6" t="str">
        <f>IF($C52=1,Table!N28,"")</f>
        <v/>
      </c>
      <c r="M52" s="39" t="str">
        <f>IF(C52=1,((Table!K28-Table!L28)/NORMSINV(0.3))^2,"")</f>
        <v/>
      </c>
    </row>
    <row r="53" spans="1:13" x14ac:dyDescent="0.2">
      <c r="A53">
        <f t="shared" si="4"/>
        <v>22</v>
      </c>
      <c r="B53" s="47">
        <f>MAX(0,Table!I29-75)</f>
        <v>0</v>
      </c>
      <c r="C53" t="str">
        <f t="shared" si="2"/>
        <v/>
      </c>
      <c r="D53" s="6" t="str">
        <f>IF($C53=1,Table!F29,"")</f>
        <v/>
      </c>
      <c r="E53" s="6" t="str">
        <f>IF($C53=1,Table!G29,"")</f>
        <v/>
      </c>
      <c r="F53" s="6" t="str">
        <f>IF($C53=1,Table!H29,"")</f>
        <v/>
      </c>
      <c r="G53" s="6" t="str">
        <f t="shared" si="3"/>
        <v/>
      </c>
      <c r="H53" s="6" t="str">
        <f>IF($C53=1,Table!J29,"")</f>
        <v/>
      </c>
      <c r="I53" s="6" t="str">
        <f>IF($C53=1,Table!K29,"")</f>
        <v/>
      </c>
      <c r="J53" s="6" t="str">
        <f>IF($C53=1,Table!L29,"")</f>
        <v/>
      </c>
      <c r="K53" s="6" t="str">
        <f>IF($C53=1,Table!M29,"")</f>
        <v/>
      </c>
      <c r="L53" s="6" t="str">
        <f>IF($C53=1,Table!N29,"")</f>
        <v/>
      </c>
      <c r="M53" s="39" t="str">
        <f>IF(C53=1,((Table!K29-Table!L29)/NORMSINV(0.3))^2,"")</f>
        <v/>
      </c>
    </row>
    <row r="54" spans="1:13" x14ac:dyDescent="0.2">
      <c r="A54">
        <f t="shared" si="4"/>
        <v>23</v>
      </c>
      <c r="B54" s="47">
        <f>MAX(0,Table!I30-75)</f>
        <v>0</v>
      </c>
      <c r="C54" t="str">
        <f t="shared" si="2"/>
        <v/>
      </c>
      <c r="D54" s="6" t="str">
        <f>IF($C54=1,Table!F30,"")</f>
        <v/>
      </c>
      <c r="E54" s="6" t="str">
        <f>IF($C54=1,Table!G30,"")</f>
        <v/>
      </c>
      <c r="F54" s="6" t="str">
        <f>IF($C54=1,Table!H30,"")</f>
        <v/>
      </c>
      <c r="G54" s="6" t="str">
        <f t="shared" si="3"/>
        <v/>
      </c>
      <c r="H54" s="6" t="str">
        <f>IF($C54=1,Table!J30,"")</f>
        <v/>
      </c>
      <c r="I54" s="6" t="str">
        <f>IF($C54=1,Table!K30,"")</f>
        <v/>
      </c>
      <c r="J54" s="6" t="str">
        <f>IF($C54=1,Table!L30,"")</f>
        <v/>
      </c>
      <c r="K54" s="6" t="str">
        <f>IF($C54=1,Table!M30,"")</f>
        <v/>
      </c>
      <c r="L54" s="6" t="str">
        <f>IF($C54=1,Table!N30,"")</f>
        <v/>
      </c>
      <c r="M54" s="39" t="str">
        <f>IF(C54=1,((Table!K30-Table!L30)/NORMSINV(0.3))^2,"")</f>
        <v/>
      </c>
    </row>
    <row r="55" spans="1:13" x14ac:dyDescent="0.2">
      <c r="A55">
        <f t="shared" si="4"/>
        <v>24</v>
      </c>
      <c r="B55" s="47">
        <f>MAX(0,Table!I31-75)</f>
        <v>0</v>
      </c>
      <c r="C55" t="str">
        <f t="shared" si="2"/>
        <v/>
      </c>
      <c r="D55" s="6" t="str">
        <f>IF($C55=1,Table!F31,"")</f>
        <v/>
      </c>
      <c r="E55" s="6" t="str">
        <f>IF($C55=1,Table!G31,"")</f>
        <v/>
      </c>
      <c r="F55" s="6" t="str">
        <f>IF($C55=1,Table!H31,"")</f>
        <v/>
      </c>
      <c r="G55" s="6" t="str">
        <f t="shared" si="3"/>
        <v/>
      </c>
      <c r="H55" s="6" t="str">
        <f>IF($C55=1,Table!J31,"")</f>
        <v/>
      </c>
      <c r="I55" s="6" t="str">
        <f>IF($C55=1,Table!K31,"")</f>
        <v/>
      </c>
      <c r="J55" s="6" t="str">
        <f>IF($C55=1,Table!L31,"")</f>
        <v/>
      </c>
      <c r="K55" s="6" t="str">
        <f>IF($C55=1,Table!M31,"")</f>
        <v/>
      </c>
      <c r="L55" s="6" t="str">
        <f>IF($C55=1,Table!N31,"")</f>
        <v/>
      </c>
      <c r="M55" s="39" t="str">
        <f>IF(C55=1,((Table!K31-Table!L31)/NORMSINV(0.3))^2,"")</f>
        <v/>
      </c>
    </row>
    <row r="56" spans="1:13" x14ac:dyDescent="0.2">
      <c r="A56" s="41" t="s">
        <v>225</v>
      </c>
      <c r="D56">
        <f>AVERAGE(D32:D55)</f>
        <v>755.06282499999998</v>
      </c>
      <c r="E56">
        <f>AVERAGE(E32:E55)</f>
        <v>131.20867499999997</v>
      </c>
      <c r="F56">
        <f>AVERAGE(F32:F55)</f>
        <v>623.85415</v>
      </c>
      <c r="G56" s="6">
        <f>SUM(G32:G55)</f>
        <v>0</v>
      </c>
      <c r="H56">
        <f t="shared" ref="H56:L56" si="5">AVERAGE(H32:H55)</f>
        <v>609.42287499999998</v>
      </c>
      <c r="I56">
        <f t="shared" si="5"/>
        <v>617.94897500000002</v>
      </c>
      <c r="J56">
        <f t="shared" si="5"/>
        <v>623.85415</v>
      </c>
      <c r="K56">
        <f t="shared" si="5"/>
        <v>629.75927499999989</v>
      </c>
      <c r="L56">
        <f t="shared" si="5"/>
        <v>638.28542500000003</v>
      </c>
      <c r="M56" s="47">
        <f>SQRT((1/SUM(C32:C55)^2*SUM(M32:M55)))</f>
        <v>5.6432519244471626</v>
      </c>
    </row>
    <row r="57" spans="1:13" x14ac:dyDescent="0.2">
      <c r="G57" s="6"/>
      <c r="H57" s="6"/>
    </row>
    <row r="58" spans="1:13" x14ac:dyDescent="0.2">
      <c r="G58" s="6"/>
      <c r="H58" s="6"/>
    </row>
    <row r="59" spans="1:13" x14ac:dyDescent="0.2">
      <c r="G59" s="6"/>
      <c r="H59" s="6"/>
    </row>
    <row r="60" spans="1:13" x14ac:dyDescent="0.2">
      <c r="G60" s="6"/>
      <c r="H60" s="6"/>
    </row>
    <row r="61" spans="1:13" x14ac:dyDescent="0.2">
      <c r="G61" s="6"/>
      <c r="H61" s="6"/>
    </row>
    <row r="62" spans="1:13" x14ac:dyDescent="0.2">
      <c r="G62" s="6"/>
      <c r="H62" s="6"/>
    </row>
    <row r="63" spans="1:13" x14ac:dyDescent="0.2">
      <c r="G63" s="6"/>
      <c r="H63" s="6"/>
    </row>
    <row r="64" spans="1:13" x14ac:dyDescent="0.2">
      <c r="G64" s="6"/>
      <c r="H64" s="6"/>
    </row>
    <row r="65" spans="7:8" x14ac:dyDescent="0.2">
      <c r="G65" s="6"/>
      <c r="H65" s="6"/>
    </row>
    <row r="66" spans="7:8" x14ac:dyDescent="0.2">
      <c r="G66" s="6"/>
      <c r="H66" s="6"/>
    </row>
    <row r="67" spans="7:8" x14ac:dyDescent="0.2">
      <c r="G67" s="6"/>
      <c r="H67" s="6"/>
    </row>
    <row r="68" spans="7:8" x14ac:dyDescent="0.2">
      <c r="G68" s="6"/>
      <c r="H68" s="6"/>
    </row>
    <row r="69" spans="7:8" x14ac:dyDescent="0.2">
      <c r="G69" s="6"/>
      <c r="H69" s="6"/>
    </row>
    <row r="70" spans="7:8" x14ac:dyDescent="0.2">
      <c r="G70" s="6"/>
      <c r="H70" s="6"/>
    </row>
  </sheetData>
  <phoneticPr fontId="2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R10242"/>
  <sheetViews>
    <sheetView zoomScaleNormal="100" workbookViewId="0">
      <pane xSplit="7" ySplit="1" topLeftCell="H2" activePane="bottomRight" state="frozen"/>
      <selection activeCell="B10" sqref="B10:F15"/>
      <selection pane="topRight" activeCell="B10" sqref="B10:F15"/>
      <selection pane="bottomLeft" activeCell="B10" sqref="B10:F15"/>
      <selection pane="bottomRight" activeCell="H2" sqref="H2"/>
    </sheetView>
  </sheetViews>
  <sheetFormatPr defaultRowHeight="12.75" x14ac:dyDescent="0.2"/>
  <cols>
    <col min="1" max="1" width="31" bestFit="1" customWidth="1"/>
    <col min="2" max="2" width="16" customWidth="1"/>
    <col min="3" max="3" width="11.85546875" customWidth="1"/>
    <col min="4" max="4" width="16" customWidth="1"/>
    <col min="5" max="5" width="6" customWidth="1"/>
    <col min="6" max="6" width="7.42578125" customWidth="1"/>
    <col min="7" max="16" width="10" customWidth="1"/>
    <col min="17" max="17" width="9" customWidth="1"/>
    <col min="18" max="18" width="10" customWidth="1"/>
    <col min="19" max="19" width="9" customWidth="1"/>
    <col min="20" max="30" width="10" customWidth="1"/>
    <col min="31" max="39" width="12.85546875" customWidth="1"/>
    <col min="40" max="54" width="14" customWidth="1"/>
    <col min="55" max="63" width="12.85546875" customWidth="1"/>
    <col min="64" max="78" width="14" customWidth="1"/>
    <col min="79" max="87" width="12.85546875" customWidth="1"/>
    <col min="88" max="102" width="14" customWidth="1"/>
    <col min="103" max="111" width="12.85546875" customWidth="1"/>
    <col min="112" max="126" width="14" customWidth="1"/>
    <col min="127" max="135" width="12.85546875" customWidth="1"/>
    <col min="136" max="150" width="14" customWidth="1"/>
    <col min="151" max="159" width="9" customWidth="1"/>
    <col min="160" max="175" width="9.7109375" customWidth="1"/>
    <col min="176" max="177" width="12" bestFit="1" customWidth="1"/>
    <col min="178" max="178" width="9.28515625" customWidth="1"/>
    <col min="179" max="181" width="10.140625" bestFit="1" customWidth="1"/>
  </cols>
  <sheetData>
    <row r="1" spans="1:174" x14ac:dyDescent="0.2">
      <c r="A1" s="62" t="s">
        <v>200</v>
      </c>
      <c r="B1" t="s">
        <v>203</v>
      </c>
      <c r="C1" t="s">
        <v>242</v>
      </c>
      <c r="D1" t="s">
        <v>228</v>
      </c>
      <c r="E1" s="41" t="s">
        <v>239</v>
      </c>
      <c r="F1" t="s">
        <v>167</v>
      </c>
      <c r="G1" t="s">
        <v>168</v>
      </c>
      <c r="H1" t="s">
        <v>169</v>
      </c>
      <c r="I1" t="s">
        <v>170</v>
      </c>
      <c r="J1" t="s">
        <v>171</v>
      </c>
      <c r="K1" t="s">
        <v>172</v>
      </c>
      <c r="L1" t="s">
        <v>173</v>
      </c>
      <c r="M1" t="s">
        <v>174</v>
      </c>
      <c r="N1" t="s">
        <v>175</v>
      </c>
      <c r="O1" t="s">
        <v>176</v>
      </c>
      <c r="P1" t="s">
        <v>177</v>
      </c>
      <c r="Q1" t="s">
        <v>178</v>
      </c>
      <c r="R1" t="s">
        <v>179</v>
      </c>
      <c r="S1" t="s">
        <v>180</v>
      </c>
      <c r="T1" t="s">
        <v>181</v>
      </c>
      <c r="U1" t="s">
        <v>182</v>
      </c>
      <c r="V1" t="s">
        <v>183</v>
      </c>
      <c r="W1" t="s">
        <v>184</v>
      </c>
      <c r="X1" t="s">
        <v>185</v>
      </c>
      <c r="Y1" t="s">
        <v>186</v>
      </c>
      <c r="Z1" t="s">
        <v>187</v>
      </c>
      <c r="AA1" t="s">
        <v>188</v>
      </c>
      <c r="AB1" t="s">
        <v>189</v>
      </c>
      <c r="AC1" t="s">
        <v>190</v>
      </c>
      <c r="AD1" t="s">
        <v>22</v>
      </c>
      <c r="AE1" t="s">
        <v>23</v>
      </c>
      <c r="AF1" t="s">
        <v>24</v>
      </c>
      <c r="AG1" t="s">
        <v>25</v>
      </c>
      <c r="AH1" t="s">
        <v>26</v>
      </c>
      <c r="AI1" t="s">
        <v>27</v>
      </c>
      <c r="AJ1" t="s">
        <v>28</v>
      </c>
      <c r="AK1" t="s">
        <v>29</v>
      </c>
      <c r="AL1" t="s">
        <v>30</v>
      </c>
      <c r="AM1" t="s">
        <v>31</v>
      </c>
      <c r="AN1" t="s">
        <v>32</v>
      </c>
      <c r="AO1" t="s">
        <v>33</v>
      </c>
      <c r="AP1" t="s">
        <v>34</v>
      </c>
      <c r="AQ1" t="s">
        <v>35</v>
      </c>
      <c r="AR1" t="s">
        <v>36</v>
      </c>
      <c r="AS1" t="s">
        <v>37</v>
      </c>
      <c r="AT1" t="s">
        <v>38</v>
      </c>
      <c r="AU1" t="s">
        <v>39</v>
      </c>
      <c r="AV1" t="s">
        <v>40</v>
      </c>
      <c r="AW1" t="s">
        <v>41</v>
      </c>
      <c r="AX1" t="s">
        <v>42</v>
      </c>
      <c r="AY1" t="s">
        <v>43</v>
      </c>
      <c r="AZ1" t="s">
        <v>44</v>
      </c>
      <c r="BA1" t="s">
        <v>45</v>
      </c>
      <c r="BB1" t="s">
        <v>46</v>
      </c>
      <c r="BC1" t="s">
        <v>47</v>
      </c>
      <c r="BD1" t="s">
        <v>48</v>
      </c>
      <c r="BE1" t="s">
        <v>49</v>
      </c>
      <c r="BF1" t="s">
        <v>50</v>
      </c>
      <c r="BG1" t="s">
        <v>51</v>
      </c>
      <c r="BH1" t="s">
        <v>52</v>
      </c>
      <c r="BI1" t="s">
        <v>53</v>
      </c>
      <c r="BJ1" t="s">
        <v>54</v>
      </c>
      <c r="BK1" t="s">
        <v>55</v>
      </c>
      <c r="BL1" t="s">
        <v>56</v>
      </c>
      <c r="BM1" t="s">
        <v>57</v>
      </c>
      <c r="BN1" t="s">
        <v>58</v>
      </c>
      <c r="BO1" t="s">
        <v>59</v>
      </c>
      <c r="BP1" t="s">
        <v>60</v>
      </c>
      <c r="BQ1" t="s">
        <v>61</v>
      </c>
      <c r="BR1" t="s">
        <v>62</v>
      </c>
      <c r="BS1" t="s">
        <v>63</v>
      </c>
      <c r="BT1" t="s">
        <v>64</v>
      </c>
      <c r="BU1" t="s">
        <v>65</v>
      </c>
      <c r="BV1" t="s">
        <v>66</v>
      </c>
      <c r="BW1" t="s">
        <v>67</v>
      </c>
      <c r="BX1" t="s">
        <v>68</v>
      </c>
      <c r="BY1" t="s">
        <v>69</v>
      </c>
      <c r="BZ1" t="s">
        <v>70</v>
      </c>
      <c r="CA1" t="s">
        <v>71</v>
      </c>
      <c r="CB1" t="s">
        <v>72</v>
      </c>
      <c r="CC1" t="s">
        <v>73</v>
      </c>
      <c r="CD1" t="s">
        <v>74</v>
      </c>
      <c r="CE1" t="s">
        <v>75</v>
      </c>
      <c r="CF1" t="s">
        <v>76</v>
      </c>
      <c r="CG1" t="s">
        <v>77</v>
      </c>
      <c r="CH1" t="s">
        <v>78</v>
      </c>
      <c r="CI1" t="s">
        <v>79</v>
      </c>
      <c r="CJ1" t="s">
        <v>80</v>
      </c>
      <c r="CK1" t="s">
        <v>81</v>
      </c>
      <c r="CL1" t="s">
        <v>82</v>
      </c>
      <c r="CM1" t="s">
        <v>83</v>
      </c>
      <c r="CN1" t="s">
        <v>84</v>
      </c>
      <c r="CO1" t="s">
        <v>85</v>
      </c>
      <c r="CP1" t="s">
        <v>86</v>
      </c>
      <c r="CQ1" t="s">
        <v>87</v>
      </c>
      <c r="CR1" t="s">
        <v>88</v>
      </c>
      <c r="CS1" t="s">
        <v>89</v>
      </c>
      <c r="CT1" t="s">
        <v>90</v>
      </c>
      <c r="CU1" t="s">
        <v>91</v>
      </c>
      <c r="CV1" t="s">
        <v>92</v>
      </c>
      <c r="CW1" t="s">
        <v>93</v>
      </c>
      <c r="CX1" t="s">
        <v>94</v>
      </c>
      <c r="CY1" t="s">
        <v>95</v>
      </c>
      <c r="CZ1" t="s">
        <v>96</v>
      </c>
      <c r="DA1" t="s">
        <v>97</v>
      </c>
      <c r="DB1" t="s">
        <v>98</v>
      </c>
      <c r="DC1" t="s">
        <v>99</v>
      </c>
      <c r="DD1" t="s">
        <v>100</v>
      </c>
      <c r="DE1" t="s">
        <v>101</v>
      </c>
      <c r="DF1" t="s">
        <v>102</v>
      </c>
      <c r="DG1" t="s">
        <v>103</v>
      </c>
      <c r="DH1" t="s">
        <v>104</v>
      </c>
      <c r="DI1" t="s">
        <v>105</v>
      </c>
      <c r="DJ1" t="s">
        <v>106</v>
      </c>
      <c r="DK1" t="s">
        <v>107</v>
      </c>
      <c r="DL1" t="s">
        <v>108</v>
      </c>
      <c r="DM1" t="s">
        <v>109</v>
      </c>
      <c r="DN1" t="s">
        <v>110</v>
      </c>
      <c r="DO1" t="s">
        <v>111</v>
      </c>
      <c r="DP1" t="s">
        <v>112</v>
      </c>
      <c r="DQ1" t="s">
        <v>113</v>
      </c>
      <c r="DR1" t="s">
        <v>114</v>
      </c>
      <c r="DS1" t="s">
        <v>115</v>
      </c>
      <c r="DT1" t="s">
        <v>116</v>
      </c>
      <c r="DU1" t="s">
        <v>117</v>
      </c>
      <c r="DV1" t="s">
        <v>118</v>
      </c>
      <c r="DW1" t="s">
        <v>119</v>
      </c>
      <c r="DX1" t="s">
        <v>120</v>
      </c>
      <c r="DY1" t="s">
        <v>121</v>
      </c>
      <c r="DZ1" t="s">
        <v>122</v>
      </c>
      <c r="EA1" t="s">
        <v>123</v>
      </c>
      <c r="EB1" t="s">
        <v>124</v>
      </c>
      <c r="EC1" t="s">
        <v>125</v>
      </c>
      <c r="ED1" t="s">
        <v>126</v>
      </c>
      <c r="EE1" t="s">
        <v>127</v>
      </c>
      <c r="EF1" t="s">
        <v>128</v>
      </c>
      <c r="EG1" t="s">
        <v>129</v>
      </c>
      <c r="EH1" t="s">
        <v>130</v>
      </c>
      <c r="EI1" t="s">
        <v>131</v>
      </c>
      <c r="EJ1" t="s">
        <v>132</v>
      </c>
      <c r="EK1" t="s">
        <v>133</v>
      </c>
      <c r="EL1" t="s">
        <v>134</v>
      </c>
      <c r="EM1" t="s">
        <v>135</v>
      </c>
      <c r="EN1" t="s">
        <v>136</v>
      </c>
      <c r="EO1" t="s">
        <v>137</v>
      </c>
      <c r="EP1" t="s">
        <v>138</v>
      </c>
      <c r="EQ1" t="s">
        <v>139</v>
      </c>
      <c r="ER1" t="s">
        <v>140</v>
      </c>
      <c r="ES1" t="s">
        <v>141</v>
      </c>
      <c r="ET1" t="s">
        <v>142</v>
      </c>
      <c r="EU1" t="s">
        <v>143</v>
      </c>
      <c r="EV1" t="s">
        <v>144</v>
      </c>
      <c r="EW1" t="s">
        <v>145</v>
      </c>
      <c r="EX1" t="s">
        <v>146</v>
      </c>
      <c r="EY1" t="s">
        <v>147</v>
      </c>
      <c r="EZ1" t="s">
        <v>148</v>
      </c>
      <c r="FA1" t="s">
        <v>149</v>
      </c>
      <c r="FB1" t="s">
        <v>150</v>
      </c>
      <c r="FC1" t="s">
        <v>151</v>
      </c>
      <c r="FD1" t="s">
        <v>152</v>
      </c>
      <c r="FE1" t="s">
        <v>153</v>
      </c>
      <c r="FF1" t="s">
        <v>154</v>
      </c>
      <c r="FG1" t="s">
        <v>155</v>
      </c>
      <c r="FH1" t="s">
        <v>156</v>
      </c>
      <c r="FI1" t="s">
        <v>157</v>
      </c>
      <c r="FJ1" t="s">
        <v>158</v>
      </c>
      <c r="FK1" t="s">
        <v>159</v>
      </c>
      <c r="FL1" t="s">
        <v>160</v>
      </c>
      <c r="FM1" t="s">
        <v>161</v>
      </c>
      <c r="FN1" t="s">
        <v>162</v>
      </c>
      <c r="FO1" t="s">
        <v>163</v>
      </c>
      <c r="FP1" t="s">
        <v>164</v>
      </c>
      <c r="FQ1" t="s">
        <v>165</v>
      </c>
      <c r="FR1" t="s">
        <v>243</v>
      </c>
    </row>
    <row r="2" spans="1:174" x14ac:dyDescent="0.2">
      <c r="A2" t="s">
        <v>1</v>
      </c>
      <c r="B2" s="63">
        <v>41676</v>
      </c>
      <c r="C2">
        <v>620</v>
      </c>
      <c r="D2">
        <v>620</v>
      </c>
      <c r="E2">
        <v>82.658000000000001</v>
      </c>
      <c r="F2">
        <v>707.21810000000005</v>
      </c>
      <c r="G2">
        <v>696.15620000000001</v>
      </c>
      <c r="H2">
        <v>685.89829999999995</v>
      </c>
      <c r="I2">
        <v>686.13940000000002</v>
      </c>
      <c r="J2">
        <v>712.87350000000004</v>
      </c>
      <c r="K2">
        <v>741.37900000000002</v>
      </c>
      <c r="L2">
        <v>758.74599999999998</v>
      </c>
      <c r="M2">
        <v>765.93849999999998</v>
      </c>
      <c r="N2">
        <v>776.43290000000002</v>
      </c>
      <c r="O2">
        <v>773.53309999999999</v>
      </c>
      <c r="P2">
        <v>777.26229999999998</v>
      </c>
      <c r="Q2">
        <v>775.34839999999997</v>
      </c>
      <c r="R2">
        <v>770.03610000000003</v>
      </c>
      <c r="S2">
        <v>759.09280000000001</v>
      </c>
      <c r="T2">
        <v>754.73140000000001</v>
      </c>
      <c r="U2">
        <v>742.19069999999999</v>
      </c>
      <c r="V2">
        <v>744.90859999999998</v>
      </c>
      <c r="W2">
        <v>763.13149999999996</v>
      </c>
      <c r="X2">
        <v>770.02049999999997</v>
      </c>
      <c r="Y2">
        <v>767.12040000000002</v>
      </c>
      <c r="Z2">
        <v>766.56679999999994</v>
      </c>
      <c r="AA2">
        <v>756.12739999999997</v>
      </c>
      <c r="AB2">
        <v>754.76559999999995</v>
      </c>
      <c r="AC2">
        <v>752.45619999999997</v>
      </c>
      <c r="AD2">
        <v>26.44416</v>
      </c>
      <c r="AE2">
        <v>12.00094</v>
      </c>
      <c r="AF2">
        <v>5.0064710000000003</v>
      </c>
      <c r="AG2">
        <v>7.7574699999999996</v>
      </c>
      <c r="AH2">
        <v>6.6868819999999998</v>
      </c>
      <c r="AI2">
        <v>11.435879999999999</v>
      </c>
      <c r="AJ2">
        <v>1.6472530000000001</v>
      </c>
      <c r="AK2">
        <v>-9.3737940000000002</v>
      </c>
      <c r="AL2">
        <v>-17.716560000000001</v>
      </c>
      <c r="AM2">
        <v>-12.29574</v>
      </c>
      <c r="AN2">
        <v>-2.759217</v>
      </c>
      <c r="AO2">
        <v>-9.2278500000000001</v>
      </c>
      <c r="AP2">
        <v>-4.3141819999999997</v>
      </c>
      <c r="AQ2">
        <v>-11.471220000000001</v>
      </c>
      <c r="AR2">
        <v>212.9271</v>
      </c>
      <c r="AS2">
        <v>585.77170000000001</v>
      </c>
      <c r="AT2">
        <v>596.55650000000003</v>
      </c>
      <c r="AU2">
        <v>625.79639999999995</v>
      </c>
      <c r="AV2">
        <v>629.56690000000003</v>
      </c>
      <c r="AW2">
        <v>560.19370000000004</v>
      </c>
      <c r="AX2">
        <v>384.58909999999997</v>
      </c>
      <c r="AY2">
        <v>277.04090000000002</v>
      </c>
      <c r="AZ2">
        <v>238.63550000000001</v>
      </c>
      <c r="BA2">
        <v>212.2039</v>
      </c>
      <c r="BB2">
        <v>29.870370000000001</v>
      </c>
      <c r="BC2">
        <v>14.72334</v>
      </c>
      <c r="BD2">
        <v>8.1261139999999994</v>
      </c>
      <c r="BE2">
        <v>10.835710000000001</v>
      </c>
      <c r="BF2">
        <v>8.9527300000000007</v>
      </c>
      <c r="BG2">
        <v>13.72772</v>
      </c>
      <c r="BH2">
        <v>4.941433</v>
      </c>
      <c r="BI2">
        <v>-5.958062</v>
      </c>
      <c r="BJ2">
        <v>-13.667109999999999</v>
      </c>
      <c r="BK2">
        <v>-8.9797130000000003</v>
      </c>
      <c r="BL2">
        <v>1.2448079999999999</v>
      </c>
      <c r="BM2">
        <v>-4.9060800000000002</v>
      </c>
      <c r="BN2">
        <v>0.89891160000000003</v>
      </c>
      <c r="BO2">
        <v>-5.0866369999999996</v>
      </c>
      <c r="BP2">
        <v>222.58349999999999</v>
      </c>
      <c r="BQ2">
        <v>594.18330000000003</v>
      </c>
      <c r="BR2">
        <v>604.86040000000003</v>
      </c>
      <c r="BS2">
        <v>633.7133</v>
      </c>
      <c r="BT2">
        <v>639.03890000000001</v>
      </c>
      <c r="BU2">
        <v>567.6979</v>
      </c>
      <c r="BV2">
        <v>391.7611</v>
      </c>
      <c r="BW2">
        <v>283.19560000000001</v>
      </c>
      <c r="BX2">
        <v>244.55090000000001</v>
      </c>
      <c r="BY2">
        <v>218.12360000000001</v>
      </c>
      <c r="BZ2">
        <v>32.243360000000003</v>
      </c>
      <c r="CA2">
        <v>16.60887</v>
      </c>
      <c r="CB2">
        <v>10.286770000000001</v>
      </c>
      <c r="CC2">
        <v>12.967689999999999</v>
      </c>
      <c r="CD2">
        <v>10.52205</v>
      </c>
      <c r="CE2">
        <v>15.31504</v>
      </c>
      <c r="CF2">
        <v>7.2229720000000004</v>
      </c>
      <c r="CG2">
        <v>-3.592336</v>
      </c>
      <c r="CH2">
        <v>-10.86247</v>
      </c>
      <c r="CI2">
        <v>-6.6830470000000002</v>
      </c>
      <c r="CJ2">
        <v>4.0179840000000002</v>
      </c>
      <c r="CK2">
        <v>-1.9128350000000001</v>
      </c>
      <c r="CL2">
        <v>4.5094839999999996</v>
      </c>
      <c r="CM2">
        <v>-0.66469250000000002</v>
      </c>
      <c r="CN2">
        <v>229.2714</v>
      </c>
      <c r="CO2">
        <v>600.00930000000005</v>
      </c>
      <c r="CP2">
        <v>610.61159999999995</v>
      </c>
      <c r="CQ2">
        <v>639.19650000000001</v>
      </c>
      <c r="CR2">
        <v>645.5992</v>
      </c>
      <c r="CS2">
        <v>572.89530000000002</v>
      </c>
      <c r="CT2">
        <v>396.7285</v>
      </c>
      <c r="CU2">
        <v>287.45830000000001</v>
      </c>
      <c r="CV2">
        <v>248.648</v>
      </c>
      <c r="CW2">
        <v>222.2235</v>
      </c>
      <c r="CX2">
        <v>34.616340000000001</v>
      </c>
      <c r="CY2">
        <v>18.494399999999999</v>
      </c>
      <c r="CZ2">
        <v>12.447419999999999</v>
      </c>
      <c r="DA2">
        <v>15.099679999999999</v>
      </c>
      <c r="DB2">
        <v>12.09137</v>
      </c>
      <c r="DC2">
        <v>16.902360000000002</v>
      </c>
      <c r="DD2">
        <v>9.5045120000000001</v>
      </c>
      <c r="DE2">
        <v>-1.2266109999999999</v>
      </c>
      <c r="DF2">
        <v>-8.0578299999999992</v>
      </c>
      <c r="DG2">
        <v>-4.3863799999999999</v>
      </c>
      <c r="DH2">
        <v>6.7911599999999996</v>
      </c>
      <c r="DI2">
        <v>1.0804100000000001</v>
      </c>
      <c r="DJ2">
        <v>8.1200569999999992</v>
      </c>
      <c r="DK2">
        <v>3.7572519999999998</v>
      </c>
      <c r="DL2">
        <v>235.95939999999999</v>
      </c>
      <c r="DM2">
        <v>605.83519999999999</v>
      </c>
      <c r="DN2">
        <v>616.36279999999999</v>
      </c>
      <c r="DO2">
        <v>644.67960000000005</v>
      </c>
      <c r="DP2">
        <v>652.15949999999998</v>
      </c>
      <c r="DQ2">
        <v>578.09270000000004</v>
      </c>
      <c r="DR2">
        <v>401.69580000000002</v>
      </c>
      <c r="DS2">
        <v>291.721</v>
      </c>
      <c r="DT2">
        <v>252.745</v>
      </c>
      <c r="DU2">
        <v>226.3235</v>
      </c>
      <c r="DV2">
        <v>38.042560000000002</v>
      </c>
      <c r="DW2">
        <v>21.216809999999999</v>
      </c>
      <c r="DX2">
        <v>15.567069999999999</v>
      </c>
      <c r="DY2">
        <v>18.17792</v>
      </c>
      <c r="DZ2">
        <v>14.35722</v>
      </c>
      <c r="EA2">
        <v>19.194199999999999</v>
      </c>
      <c r="EB2">
        <v>12.798690000000001</v>
      </c>
      <c r="EC2">
        <v>2.1891210000000001</v>
      </c>
      <c r="ED2">
        <v>-4.0083760000000002</v>
      </c>
      <c r="EE2">
        <v>-1.070357</v>
      </c>
      <c r="EF2">
        <v>10.79518</v>
      </c>
      <c r="EG2">
        <v>5.4021800000000004</v>
      </c>
      <c r="EH2">
        <v>13.33315</v>
      </c>
      <c r="EI2">
        <v>10.14184</v>
      </c>
      <c r="EJ2">
        <v>245.61580000000001</v>
      </c>
      <c r="EK2">
        <v>614.24689999999998</v>
      </c>
      <c r="EL2">
        <v>624.66669999999999</v>
      </c>
      <c r="EM2">
        <v>652.59649999999999</v>
      </c>
      <c r="EN2">
        <v>661.63160000000005</v>
      </c>
      <c r="EO2">
        <v>585.59699999999998</v>
      </c>
      <c r="EP2">
        <v>408.86779999999999</v>
      </c>
      <c r="EQ2">
        <v>297.87569999999999</v>
      </c>
      <c r="ER2">
        <v>258.66050000000001</v>
      </c>
      <c r="ES2">
        <v>232.2431</v>
      </c>
      <c r="ET2">
        <v>49.054139999999997</v>
      </c>
      <c r="EU2">
        <v>48.960129999999999</v>
      </c>
      <c r="EV2">
        <v>48.816450000000003</v>
      </c>
      <c r="EW2">
        <v>48.749310000000001</v>
      </c>
      <c r="EX2">
        <v>48.638759999999998</v>
      </c>
      <c r="EY2">
        <v>48.778480000000002</v>
      </c>
      <c r="EZ2">
        <v>48.837829999999997</v>
      </c>
      <c r="FA2">
        <v>49.255209999999998</v>
      </c>
      <c r="FB2">
        <v>51.148569999999999</v>
      </c>
      <c r="FC2">
        <v>53.142180000000003</v>
      </c>
      <c r="FD2">
        <v>54.476140000000001</v>
      </c>
      <c r="FE2">
        <v>55.275770000000001</v>
      </c>
      <c r="FF2">
        <v>55.160040000000002</v>
      </c>
      <c r="FG2">
        <v>54.414059999999999</v>
      </c>
      <c r="FH2">
        <v>53.280479999999997</v>
      </c>
      <c r="FI2">
        <v>52.698509999999999</v>
      </c>
      <c r="FJ2">
        <v>51.730339999999998</v>
      </c>
      <c r="FK2">
        <v>50.995950000000001</v>
      </c>
      <c r="FL2">
        <v>50.234940000000002</v>
      </c>
      <c r="FM2">
        <v>49.579360000000001</v>
      </c>
      <c r="FN2">
        <v>48.106780000000001</v>
      </c>
      <c r="FO2">
        <v>47.957210000000003</v>
      </c>
      <c r="FP2">
        <v>48.622369999999997</v>
      </c>
      <c r="FQ2">
        <v>48.419330000000002</v>
      </c>
      <c r="FR2">
        <v>1</v>
      </c>
    </row>
    <row r="3" spans="1:174" x14ac:dyDescent="0.2">
      <c r="A3" t="s">
        <v>1</v>
      </c>
      <c r="B3" s="63" t="s">
        <v>2</v>
      </c>
      <c r="C3">
        <v>620</v>
      </c>
      <c r="D3">
        <v>620</v>
      </c>
      <c r="E3">
        <v>82.658000000000001</v>
      </c>
      <c r="F3">
        <v>707.21810000000005</v>
      </c>
      <c r="G3">
        <v>696.15620000000001</v>
      </c>
      <c r="H3">
        <v>685.89829999999995</v>
      </c>
      <c r="I3">
        <v>686.13940000000002</v>
      </c>
      <c r="J3">
        <v>712.87350000000004</v>
      </c>
      <c r="K3">
        <v>741.37900000000002</v>
      </c>
      <c r="L3">
        <v>758.74599999999998</v>
      </c>
      <c r="M3">
        <v>765.93849999999998</v>
      </c>
      <c r="N3">
        <v>776.43290000000002</v>
      </c>
      <c r="O3">
        <v>773.53309999999999</v>
      </c>
      <c r="P3">
        <v>777.26229999999998</v>
      </c>
      <c r="Q3">
        <v>775.34839999999997</v>
      </c>
      <c r="R3">
        <v>770.03610000000003</v>
      </c>
      <c r="S3">
        <v>759.09280000000001</v>
      </c>
      <c r="T3">
        <v>754.73140000000001</v>
      </c>
      <c r="U3">
        <v>742.19069999999999</v>
      </c>
      <c r="V3">
        <v>744.90859999999998</v>
      </c>
      <c r="W3">
        <v>763.13149999999996</v>
      </c>
      <c r="X3">
        <v>770.02049999999997</v>
      </c>
      <c r="Y3">
        <v>767.12040000000002</v>
      </c>
      <c r="Z3">
        <v>766.56679999999994</v>
      </c>
      <c r="AA3">
        <v>756.12739999999997</v>
      </c>
      <c r="AB3">
        <v>754.76559999999995</v>
      </c>
      <c r="AC3">
        <v>752.45619999999997</v>
      </c>
      <c r="AD3">
        <v>26.44416</v>
      </c>
      <c r="AE3">
        <v>12.00094</v>
      </c>
      <c r="AF3">
        <v>5.0064710000000003</v>
      </c>
      <c r="AG3">
        <v>7.7574699999999996</v>
      </c>
      <c r="AH3">
        <v>6.6868819999999998</v>
      </c>
      <c r="AI3">
        <v>11.435879999999999</v>
      </c>
      <c r="AJ3">
        <v>1.6472530000000001</v>
      </c>
      <c r="AK3">
        <v>-9.3737940000000002</v>
      </c>
      <c r="AL3">
        <v>-17.716560000000001</v>
      </c>
      <c r="AM3">
        <v>-12.29574</v>
      </c>
      <c r="AN3">
        <v>-2.759217</v>
      </c>
      <c r="AO3">
        <v>-9.2278500000000001</v>
      </c>
      <c r="AP3">
        <v>-4.3141819999999997</v>
      </c>
      <c r="AQ3">
        <v>-11.471220000000001</v>
      </c>
      <c r="AR3">
        <v>212.9271</v>
      </c>
      <c r="AS3">
        <v>585.77170000000001</v>
      </c>
      <c r="AT3">
        <v>596.55650000000003</v>
      </c>
      <c r="AU3">
        <v>625.79639999999995</v>
      </c>
      <c r="AV3">
        <v>629.56690000000003</v>
      </c>
      <c r="AW3">
        <v>560.19370000000004</v>
      </c>
      <c r="AX3">
        <v>384.58909999999997</v>
      </c>
      <c r="AY3">
        <v>277.04090000000002</v>
      </c>
      <c r="AZ3">
        <v>238.63550000000001</v>
      </c>
      <c r="BA3">
        <v>212.2039</v>
      </c>
      <c r="BB3">
        <v>29.870370000000001</v>
      </c>
      <c r="BC3">
        <v>14.72334</v>
      </c>
      <c r="BD3">
        <v>8.1261139999999994</v>
      </c>
      <c r="BE3">
        <v>10.835710000000001</v>
      </c>
      <c r="BF3">
        <v>8.9527300000000007</v>
      </c>
      <c r="BG3">
        <v>13.72772</v>
      </c>
      <c r="BH3">
        <v>4.941433</v>
      </c>
      <c r="BI3">
        <v>-5.958062</v>
      </c>
      <c r="BJ3">
        <v>-13.667109999999999</v>
      </c>
      <c r="BK3">
        <v>-8.9797130000000003</v>
      </c>
      <c r="BL3">
        <v>1.2448079999999999</v>
      </c>
      <c r="BM3">
        <v>-4.9060800000000002</v>
      </c>
      <c r="BN3">
        <v>0.89891160000000003</v>
      </c>
      <c r="BO3">
        <v>-5.0866369999999996</v>
      </c>
      <c r="BP3">
        <v>222.58349999999999</v>
      </c>
      <c r="BQ3">
        <v>594.18330000000003</v>
      </c>
      <c r="BR3">
        <v>604.86040000000003</v>
      </c>
      <c r="BS3">
        <v>633.7133</v>
      </c>
      <c r="BT3">
        <v>639.03890000000001</v>
      </c>
      <c r="BU3">
        <v>567.6979</v>
      </c>
      <c r="BV3">
        <v>391.7611</v>
      </c>
      <c r="BW3">
        <v>283.19560000000001</v>
      </c>
      <c r="BX3">
        <v>244.55090000000001</v>
      </c>
      <c r="BY3">
        <v>218.12360000000001</v>
      </c>
      <c r="BZ3">
        <v>32.243360000000003</v>
      </c>
      <c r="CA3">
        <v>16.60887</v>
      </c>
      <c r="CB3">
        <v>10.286770000000001</v>
      </c>
      <c r="CC3">
        <v>12.967689999999999</v>
      </c>
      <c r="CD3">
        <v>10.52205</v>
      </c>
      <c r="CE3">
        <v>15.31504</v>
      </c>
      <c r="CF3">
        <v>7.2229720000000004</v>
      </c>
      <c r="CG3">
        <v>-3.592336</v>
      </c>
      <c r="CH3">
        <v>-10.86247</v>
      </c>
      <c r="CI3">
        <v>-6.6830470000000002</v>
      </c>
      <c r="CJ3">
        <v>4.0179840000000002</v>
      </c>
      <c r="CK3">
        <v>-1.9128350000000001</v>
      </c>
      <c r="CL3">
        <v>4.5094839999999996</v>
      </c>
      <c r="CM3">
        <v>-0.66469250000000002</v>
      </c>
      <c r="CN3">
        <v>229.2714</v>
      </c>
      <c r="CO3">
        <v>600.00930000000005</v>
      </c>
      <c r="CP3">
        <v>610.61159999999995</v>
      </c>
      <c r="CQ3">
        <v>639.19650000000001</v>
      </c>
      <c r="CR3">
        <v>645.5992</v>
      </c>
      <c r="CS3">
        <v>572.89530000000002</v>
      </c>
      <c r="CT3">
        <v>396.7285</v>
      </c>
      <c r="CU3">
        <v>287.45830000000001</v>
      </c>
      <c r="CV3">
        <v>248.648</v>
      </c>
      <c r="CW3">
        <v>222.2235</v>
      </c>
      <c r="CX3">
        <v>34.616340000000001</v>
      </c>
      <c r="CY3">
        <v>18.494399999999999</v>
      </c>
      <c r="CZ3">
        <v>12.447419999999999</v>
      </c>
      <c r="DA3">
        <v>15.099679999999999</v>
      </c>
      <c r="DB3">
        <v>12.09137</v>
      </c>
      <c r="DC3">
        <v>16.902360000000002</v>
      </c>
      <c r="DD3">
        <v>9.5045120000000001</v>
      </c>
      <c r="DE3">
        <v>-1.2266109999999999</v>
      </c>
      <c r="DF3">
        <v>-8.0578299999999992</v>
      </c>
      <c r="DG3">
        <v>-4.3863799999999999</v>
      </c>
      <c r="DH3">
        <v>6.7911599999999996</v>
      </c>
      <c r="DI3">
        <v>1.0804100000000001</v>
      </c>
      <c r="DJ3">
        <v>8.1200569999999992</v>
      </c>
      <c r="DK3">
        <v>3.7572519999999998</v>
      </c>
      <c r="DL3">
        <v>235.95939999999999</v>
      </c>
      <c r="DM3">
        <v>605.83519999999999</v>
      </c>
      <c r="DN3">
        <v>616.36279999999999</v>
      </c>
      <c r="DO3">
        <v>644.67960000000005</v>
      </c>
      <c r="DP3">
        <v>652.15949999999998</v>
      </c>
      <c r="DQ3">
        <v>578.09270000000004</v>
      </c>
      <c r="DR3">
        <v>401.69580000000002</v>
      </c>
      <c r="DS3">
        <v>291.721</v>
      </c>
      <c r="DT3">
        <v>252.745</v>
      </c>
      <c r="DU3">
        <v>226.3235</v>
      </c>
      <c r="DV3">
        <v>38.042560000000002</v>
      </c>
      <c r="DW3">
        <v>21.216809999999999</v>
      </c>
      <c r="DX3">
        <v>15.567069999999999</v>
      </c>
      <c r="DY3">
        <v>18.17792</v>
      </c>
      <c r="DZ3">
        <v>14.35722</v>
      </c>
      <c r="EA3">
        <v>19.194199999999999</v>
      </c>
      <c r="EB3">
        <v>12.798690000000001</v>
      </c>
      <c r="EC3">
        <v>2.1891210000000001</v>
      </c>
      <c r="ED3">
        <v>-4.0083760000000002</v>
      </c>
      <c r="EE3">
        <v>-1.070357</v>
      </c>
      <c r="EF3">
        <v>10.79518</v>
      </c>
      <c r="EG3">
        <v>5.4021800000000004</v>
      </c>
      <c r="EH3">
        <v>13.33315</v>
      </c>
      <c r="EI3">
        <v>10.14184</v>
      </c>
      <c r="EJ3">
        <v>245.61580000000001</v>
      </c>
      <c r="EK3">
        <v>614.24689999999998</v>
      </c>
      <c r="EL3">
        <v>624.66669999999999</v>
      </c>
      <c r="EM3">
        <v>652.59649999999999</v>
      </c>
      <c r="EN3">
        <v>661.63160000000005</v>
      </c>
      <c r="EO3">
        <v>585.59699999999998</v>
      </c>
      <c r="EP3">
        <v>408.86779999999999</v>
      </c>
      <c r="EQ3">
        <v>297.87569999999999</v>
      </c>
      <c r="ER3">
        <v>258.66050000000001</v>
      </c>
      <c r="ES3">
        <v>232.2431</v>
      </c>
      <c r="ET3">
        <v>49.054139999999997</v>
      </c>
      <c r="EU3">
        <v>48.960129999999999</v>
      </c>
      <c r="EV3">
        <v>48.816450000000003</v>
      </c>
      <c r="EW3">
        <v>48.749310000000001</v>
      </c>
      <c r="EX3">
        <v>48.638759999999998</v>
      </c>
      <c r="EY3">
        <v>48.778480000000002</v>
      </c>
      <c r="EZ3">
        <v>48.837829999999997</v>
      </c>
      <c r="FA3">
        <v>49.255209999999998</v>
      </c>
      <c r="FB3">
        <v>51.148569999999999</v>
      </c>
      <c r="FC3">
        <v>53.142180000000003</v>
      </c>
      <c r="FD3">
        <v>54.476140000000001</v>
      </c>
      <c r="FE3">
        <v>55.275770000000001</v>
      </c>
      <c r="FF3">
        <v>55.160040000000002</v>
      </c>
      <c r="FG3">
        <v>54.414059999999999</v>
      </c>
      <c r="FH3">
        <v>53.280479999999997</v>
      </c>
      <c r="FI3">
        <v>52.698509999999999</v>
      </c>
      <c r="FJ3">
        <v>51.730339999999998</v>
      </c>
      <c r="FK3">
        <v>50.995950000000001</v>
      </c>
      <c r="FL3">
        <v>50.234940000000002</v>
      </c>
      <c r="FM3">
        <v>49.579360000000001</v>
      </c>
      <c r="FN3">
        <v>48.106780000000001</v>
      </c>
      <c r="FO3">
        <v>47.957210000000003</v>
      </c>
      <c r="FP3">
        <v>48.622369999999997</v>
      </c>
      <c r="FQ3">
        <v>48.419330000000002</v>
      </c>
      <c r="FR3">
        <v>1</v>
      </c>
    </row>
    <row r="4" spans="1:174" x14ac:dyDescent="0.2">
      <c r="A4" t="s">
        <v>231</v>
      </c>
      <c r="B4" s="63">
        <v>41676</v>
      </c>
      <c r="C4">
        <v>533</v>
      </c>
      <c r="D4">
        <v>533</v>
      </c>
      <c r="E4">
        <v>71.852999999999994</v>
      </c>
      <c r="F4">
        <v>524.7115</v>
      </c>
      <c r="G4">
        <v>514.31709999999998</v>
      </c>
      <c r="H4">
        <v>506.68329999999997</v>
      </c>
      <c r="I4">
        <v>507.51029999999997</v>
      </c>
      <c r="J4">
        <v>533.24329999999998</v>
      </c>
      <c r="K4">
        <v>556.94730000000004</v>
      </c>
      <c r="L4">
        <v>572.87660000000005</v>
      </c>
      <c r="M4">
        <v>582.98080000000004</v>
      </c>
      <c r="N4">
        <v>593.88350000000003</v>
      </c>
      <c r="O4">
        <v>592.45730000000003</v>
      </c>
      <c r="P4">
        <v>594.47059999999999</v>
      </c>
      <c r="Q4">
        <v>589.10329999999999</v>
      </c>
      <c r="R4">
        <v>585.39089999999999</v>
      </c>
      <c r="S4">
        <v>576.63289999999995</v>
      </c>
      <c r="T4">
        <v>574.0607</v>
      </c>
      <c r="U4">
        <v>562.00210000000004</v>
      </c>
      <c r="V4">
        <v>562.75649999999996</v>
      </c>
      <c r="W4">
        <v>576.32150000000001</v>
      </c>
      <c r="X4">
        <v>582.35850000000005</v>
      </c>
      <c r="Y4">
        <v>577.90390000000002</v>
      </c>
      <c r="Z4">
        <v>577.048</v>
      </c>
      <c r="AA4">
        <v>565.7876</v>
      </c>
      <c r="AB4">
        <v>564.01739999999995</v>
      </c>
      <c r="AC4">
        <v>562.29319999999996</v>
      </c>
      <c r="AD4">
        <v>25.895219999999998</v>
      </c>
      <c r="AE4">
        <v>7.7028449999999999</v>
      </c>
      <c r="AF4">
        <v>-2.0840999999999998</v>
      </c>
      <c r="AG4">
        <v>1.3935489999999999</v>
      </c>
      <c r="AH4">
        <v>8.3388209999999994</v>
      </c>
      <c r="AI4">
        <v>8.5876149999999996</v>
      </c>
      <c r="AJ4">
        <v>4.9442919999999999</v>
      </c>
      <c r="AK4">
        <v>1.2638309999999999</v>
      </c>
      <c r="AL4">
        <v>-7.9178129999999998</v>
      </c>
      <c r="AM4">
        <v>-1.563769</v>
      </c>
      <c r="AN4">
        <v>0.80490819999999996</v>
      </c>
      <c r="AO4">
        <v>-7.9052509999999998</v>
      </c>
      <c r="AP4">
        <v>-2.7803170000000001</v>
      </c>
      <c r="AQ4">
        <v>-6.2637470000000004</v>
      </c>
      <c r="AR4">
        <v>157.2004</v>
      </c>
      <c r="AS4">
        <v>435.54939999999999</v>
      </c>
      <c r="AT4">
        <v>443.57130000000001</v>
      </c>
      <c r="AU4">
        <v>457.60660000000001</v>
      </c>
      <c r="AV4">
        <v>458.8408</v>
      </c>
      <c r="AW4">
        <v>404.64550000000003</v>
      </c>
      <c r="AX4">
        <v>268.37270000000001</v>
      </c>
      <c r="AY4">
        <v>187.57259999999999</v>
      </c>
      <c r="AZ4">
        <v>163.21549999999999</v>
      </c>
      <c r="BA4">
        <v>145.4109</v>
      </c>
      <c r="BB4">
        <v>29.19689</v>
      </c>
      <c r="BC4">
        <v>10.25929</v>
      </c>
      <c r="BD4">
        <v>0.91003230000000002</v>
      </c>
      <c r="BE4">
        <v>4.360303</v>
      </c>
      <c r="BF4">
        <v>10.46655</v>
      </c>
      <c r="BG4">
        <v>10.694699999999999</v>
      </c>
      <c r="BH4">
        <v>8.0801300000000005</v>
      </c>
      <c r="BI4">
        <v>4.5357120000000002</v>
      </c>
      <c r="BJ4">
        <v>-4.0187670000000004</v>
      </c>
      <c r="BK4">
        <v>1.478799</v>
      </c>
      <c r="BL4">
        <v>4.6332500000000003</v>
      </c>
      <c r="BM4">
        <v>-3.8307169999999999</v>
      </c>
      <c r="BN4">
        <v>2.127399</v>
      </c>
      <c r="BO4">
        <v>-0.1145786</v>
      </c>
      <c r="BP4">
        <v>166.63990000000001</v>
      </c>
      <c r="BQ4">
        <v>443.63580000000002</v>
      </c>
      <c r="BR4">
        <v>451.56619999999998</v>
      </c>
      <c r="BS4">
        <v>465.2758</v>
      </c>
      <c r="BT4">
        <v>468.1506</v>
      </c>
      <c r="BU4">
        <v>411.96910000000003</v>
      </c>
      <c r="BV4">
        <v>275.37200000000001</v>
      </c>
      <c r="BW4">
        <v>193.53620000000001</v>
      </c>
      <c r="BX4">
        <v>168.9385</v>
      </c>
      <c r="BY4">
        <v>151.11279999999999</v>
      </c>
      <c r="BZ4">
        <v>31.483619999999998</v>
      </c>
      <c r="CA4">
        <v>12.029870000000001</v>
      </c>
      <c r="CB4">
        <v>2.9837590000000001</v>
      </c>
      <c r="CC4">
        <v>6.4150679999999998</v>
      </c>
      <c r="CD4">
        <v>11.94021</v>
      </c>
      <c r="CE4">
        <v>12.15405</v>
      </c>
      <c r="CF4">
        <v>10.252000000000001</v>
      </c>
      <c r="CG4">
        <v>6.8018080000000003</v>
      </c>
      <c r="CH4">
        <v>-1.3183</v>
      </c>
      <c r="CI4">
        <v>3.5860729999999998</v>
      </c>
      <c r="CJ4">
        <v>7.2847489999999997</v>
      </c>
      <c r="CK4">
        <v>-1.0087079999999999</v>
      </c>
      <c r="CL4">
        <v>5.5264680000000004</v>
      </c>
      <c r="CM4">
        <v>4.144317</v>
      </c>
      <c r="CN4">
        <v>173.17769999999999</v>
      </c>
      <c r="CO4">
        <v>449.23649999999998</v>
      </c>
      <c r="CP4">
        <v>457.10340000000002</v>
      </c>
      <c r="CQ4">
        <v>470.58749999999998</v>
      </c>
      <c r="CR4">
        <v>474.5985</v>
      </c>
      <c r="CS4">
        <v>417.04129999999998</v>
      </c>
      <c r="CT4">
        <v>280.21969999999999</v>
      </c>
      <c r="CU4">
        <v>197.66659999999999</v>
      </c>
      <c r="CV4">
        <v>172.90219999999999</v>
      </c>
      <c r="CW4">
        <v>155.06200000000001</v>
      </c>
      <c r="CX4">
        <v>33.770350000000001</v>
      </c>
      <c r="CY4">
        <v>13.800459999999999</v>
      </c>
      <c r="CZ4">
        <v>5.0574859999999999</v>
      </c>
      <c r="DA4">
        <v>8.4698329999999995</v>
      </c>
      <c r="DB4">
        <v>13.413869999999999</v>
      </c>
      <c r="DC4">
        <v>13.61341</v>
      </c>
      <c r="DD4">
        <v>12.423870000000001</v>
      </c>
      <c r="DE4">
        <v>9.0679040000000004</v>
      </c>
      <c r="DF4">
        <v>1.3821680000000001</v>
      </c>
      <c r="DG4">
        <v>5.6933470000000002</v>
      </c>
      <c r="DH4">
        <v>9.9362469999999998</v>
      </c>
      <c r="DI4">
        <v>1.813302</v>
      </c>
      <c r="DJ4">
        <v>8.9255370000000003</v>
      </c>
      <c r="DK4">
        <v>8.4032119999999999</v>
      </c>
      <c r="DL4">
        <v>179.71549999999999</v>
      </c>
      <c r="DM4">
        <v>454.83710000000002</v>
      </c>
      <c r="DN4">
        <v>462.64069999999998</v>
      </c>
      <c r="DO4">
        <v>475.89909999999998</v>
      </c>
      <c r="DP4">
        <v>481.04640000000001</v>
      </c>
      <c r="DQ4">
        <v>422.11360000000002</v>
      </c>
      <c r="DR4">
        <v>285.06740000000002</v>
      </c>
      <c r="DS4">
        <v>201.797</v>
      </c>
      <c r="DT4">
        <v>176.86600000000001</v>
      </c>
      <c r="DU4">
        <v>159.0111</v>
      </c>
      <c r="DV4">
        <v>37.072029999999998</v>
      </c>
      <c r="DW4">
        <v>16.3569</v>
      </c>
      <c r="DX4">
        <v>8.0516179999999995</v>
      </c>
      <c r="DY4">
        <v>11.436590000000001</v>
      </c>
      <c r="DZ4">
        <v>15.541600000000001</v>
      </c>
      <c r="EA4">
        <v>15.72049</v>
      </c>
      <c r="EB4">
        <v>15.559710000000001</v>
      </c>
      <c r="EC4">
        <v>12.339790000000001</v>
      </c>
      <c r="ED4">
        <v>5.2812140000000003</v>
      </c>
      <c r="EE4">
        <v>8.7359150000000003</v>
      </c>
      <c r="EF4">
        <v>13.76459</v>
      </c>
      <c r="EG4">
        <v>5.8878360000000001</v>
      </c>
      <c r="EH4">
        <v>13.83325</v>
      </c>
      <c r="EI4">
        <v>14.552379999999999</v>
      </c>
      <c r="EJ4">
        <v>189.1551</v>
      </c>
      <c r="EK4">
        <v>462.92360000000002</v>
      </c>
      <c r="EL4">
        <v>470.63560000000001</v>
      </c>
      <c r="EM4">
        <v>483.56830000000002</v>
      </c>
      <c r="EN4">
        <v>490.35610000000003</v>
      </c>
      <c r="EO4">
        <v>429.43709999999999</v>
      </c>
      <c r="EP4">
        <v>292.06670000000003</v>
      </c>
      <c r="EQ4">
        <v>207.76060000000001</v>
      </c>
      <c r="ER4">
        <v>182.5889</v>
      </c>
      <c r="ES4">
        <v>164.71299999999999</v>
      </c>
      <c r="ET4">
        <v>50.828789999999998</v>
      </c>
      <c r="EU4">
        <v>50.434199999999997</v>
      </c>
      <c r="EV4">
        <v>50.134720000000002</v>
      </c>
      <c r="EW4">
        <v>50.131140000000002</v>
      </c>
      <c r="EX4">
        <v>50.04224</v>
      </c>
      <c r="EY4">
        <v>49.996139999999997</v>
      </c>
      <c r="EZ4">
        <v>50.113329999999998</v>
      </c>
      <c r="FA4">
        <v>50.631250000000001</v>
      </c>
      <c r="FB4">
        <v>52.439970000000002</v>
      </c>
      <c r="FC4">
        <v>54.401449999999997</v>
      </c>
      <c r="FD4">
        <v>55.744349999999997</v>
      </c>
      <c r="FE4">
        <v>56.854129999999998</v>
      </c>
      <c r="FF4">
        <v>56.84637</v>
      </c>
      <c r="FG4">
        <v>55.898890000000002</v>
      </c>
      <c r="FH4">
        <v>54.384239999999998</v>
      </c>
      <c r="FI4">
        <v>53.373010000000001</v>
      </c>
      <c r="FJ4">
        <v>52.529150000000001</v>
      </c>
      <c r="FK4">
        <v>51.165300000000002</v>
      </c>
      <c r="FL4">
        <v>50.218679999999999</v>
      </c>
      <c r="FM4">
        <v>49.558779999999999</v>
      </c>
      <c r="FN4">
        <v>47.957369999999997</v>
      </c>
      <c r="FO4">
        <v>47.86</v>
      </c>
      <c r="FP4">
        <v>48.877800000000001</v>
      </c>
      <c r="FQ4">
        <v>48.695149999999998</v>
      </c>
      <c r="FR4">
        <v>1</v>
      </c>
    </row>
    <row r="5" spans="1:174" x14ac:dyDescent="0.2">
      <c r="A5" t="s">
        <v>231</v>
      </c>
      <c r="B5" s="63" t="s">
        <v>2</v>
      </c>
      <c r="C5">
        <v>533</v>
      </c>
      <c r="D5">
        <v>533</v>
      </c>
      <c r="E5">
        <v>71.852999999999994</v>
      </c>
      <c r="F5">
        <v>524.7115</v>
      </c>
      <c r="G5">
        <v>514.31709999999998</v>
      </c>
      <c r="H5">
        <v>506.68329999999997</v>
      </c>
      <c r="I5">
        <v>507.51029999999997</v>
      </c>
      <c r="J5">
        <v>533.24329999999998</v>
      </c>
      <c r="K5">
        <v>556.94730000000004</v>
      </c>
      <c r="L5">
        <v>572.87660000000005</v>
      </c>
      <c r="M5">
        <v>582.98080000000004</v>
      </c>
      <c r="N5">
        <v>593.88350000000003</v>
      </c>
      <c r="O5">
        <v>592.45730000000003</v>
      </c>
      <c r="P5">
        <v>594.47059999999999</v>
      </c>
      <c r="Q5">
        <v>589.10329999999999</v>
      </c>
      <c r="R5">
        <v>585.39089999999999</v>
      </c>
      <c r="S5">
        <v>576.63289999999995</v>
      </c>
      <c r="T5">
        <v>574.0607</v>
      </c>
      <c r="U5">
        <v>562.00210000000004</v>
      </c>
      <c r="V5">
        <v>562.75649999999996</v>
      </c>
      <c r="W5">
        <v>576.32150000000001</v>
      </c>
      <c r="X5">
        <v>582.35850000000005</v>
      </c>
      <c r="Y5">
        <v>577.90390000000002</v>
      </c>
      <c r="Z5">
        <v>577.048</v>
      </c>
      <c r="AA5">
        <v>565.7876</v>
      </c>
      <c r="AB5">
        <v>564.01739999999995</v>
      </c>
      <c r="AC5">
        <v>562.29319999999996</v>
      </c>
      <c r="AD5">
        <v>25.895219999999998</v>
      </c>
      <c r="AE5">
        <v>7.7028449999999999</v>
      </c>
      <c r="AF5">
        <v>-2.0840999999999998</v>
      </c>
      <c r="AG5">
        <v>1.3935489999999999</v>
      </c>
      <c r="AH5">
        <v>8.3388209999999994</v>
      </c>
      <c r="AI5">
        <v>8.5876149999999996</v>
      </c>
      <c r="AJ5">
        <v>4.9442919999999999</v>
      </c>
      <c r="AK5">
        <v>1.2638309999999999</v>
      </c>
      <c r="AL5">
        <v>-7.9178129999999998</v>
      </c>
      <c r="AM5">
        <v>-1.563769</v>
      </c>
      <c r="AN5">
        <v>0.80490819999999996</v>
      </c>
      <c r="AO5">
        <v>-7.9052509999999998</v>
      </c>
      <c r="AP5">
        <v>-2.7803170000000001</v>
      </c>
      <c r="AQ5">
        <v>-6.2637470000000004</v>
      </c>
      <c r="AR5">
        <v>157.2004</v>
      </c>
      <c r="AS5">
        <v>435.54939999999999</v>
      </c>
      <c r="AT5">
        <v>443.57130000000001</v>
      </c>
      <c r="AU5">
        <v>457.60660000000001</v>
      </c>
      <c r="AV5">
        <v>458.8408</v>
      </c>
      <c r="AW5">
        <v>404.64550000000003</v>
      </c>
      <c r="AX5">
        <v>268.37270000000001</v>
      </c>
      <c r="AY5">
        <v>187.57259999999999</v>
      </c>
      <c r="AZ5">
        <v>163.21549999999999</v>
      </c>
      <c r="BA5">
        <v>145.4109</v>
      </c>
      <c r="BB5">
        <v>29.19689</v>
      </c>
      <c r="BC5">
        <v>10.25929</v>
      </c>
      <c r="BD5">
        <v>0.91003230000000002</v>
      </c>
      <c r="BE5">
        <v>4.360303</v>
      </c>
      <c r="BF5">
        <v>10.46655</v>
      </c>
      <c r="BG5">
        <v>10.694699999999999</v>
      </c>
      <c r="BH5">
        <v>8.0801300000000005</v>
      </c>
      <c r="BI5">
        <v>4.5357120000000002</v>
      </c>
      <c r="BJ5">
        <v>-4.0187670000000004</v>
      </c>
      <c r="BK5">
        <v>1.478799</v>
      </c>
      <c r="BL5">
        <v>4.6332500000000003</v>
      </c>
      <c r="BM5">
        <v>-3.8307169999999999</v>
      </c>
      <c r="BN5">
        <v>2.127399</v>
      </c>
      <c r="BO5">
        <v>-0.1145786</v>
      </c>
      <c r="BP5">
        <v>166.63990000000001</v>
      </c>
      <c r="BQ5">
        <v>443.63580000000002</v>
      </c>
      <c r="BR5">
        <v>451.56619999999998</v>
      </c>
      <c r="BS5">
        <v>465.2758</v>
      </c>
      <c r="BT5">
        <v>468.1506</v>
      </c>
      <c r="BU5">
        <v>411.96910000000003</v>
      </c>
      <c r="BV5">
        <v>275.37200000000001</v>
      </c>
      <c r="BW5">
        <v>193.53620000000001</v>
      </c>
      <c r="BX5">
        <v>168.9385</v>
      </c>
      <c r="BY5">
        <v>151.11279999999999</v>
      </c>
      <c r="BZ5">
        <v>31.483619999999998</v>
      </c>
      <c r="CA5">
        <v>12.029870000000001</v>
      </c>
      <c r="CB5">
        <v>2.9837590000000001</v>
      </c>
      <c r="CC5">
        <v>6.4150679999999998</v>
      </c>
      <c r="CD5">
        <v>11.94021</v>
      </c>
      <c r="CE5">
        <v>12.15405</v>
      </c>
      <c r="CF5">
        <v>10.252000000000001</v>
      </c>
      <c r="CG5">
        <v>6.8018080000000003</v>
      </c>
      <c r="CH5">
        <v>-1.3183</v>
      </c>
      <c r="CI5">
        <v>3.5860729999999998</v>
      </c>
      <c r="CJ5">
        <v>7.2847489999999997</v>
      </c>
      <c r="CK5">
        <v>-1.0087079999999999</v>
      </c>
      <c r="CL5">
        <v>5.5264680000000004</v>
      </c>
      <c r="CM5">
        <v>4.144317</v>
      </c>
      <c r="CN5">
        <v>173.17769999999999</v>
      </c>
      <c r="CO5">
        <v>449.23649999999998</v>
      </c>
      <c r="CP5">
        <v>457.10340000000002</v>
      </c>
      <c r="CQ5">
        <v>470.58749999999998</v>
      </c>
      <c r="CR5">
        <v>474.5985</v>
      </c>
      <c r="CS5">
        <v>417.04129999999998</v>
      </c>
      <c r="CT5">
        <v>280.21969999999999</v>
      </c>
      <c r="CU5">
        <v>197.66659999999999</v>
      </c>
      <c r="CV5">
        <v>172.90219999999999</v>
      </c>
      <c r="CW5">
        <v>155.06200000000001</v>
      </c>
      <c r="CX5">
        <v>33.770350000000001</v>
      </c>
      <c r="CY5">
        <v>13.800459999999999</v>
      </c>
      <c r="CZ5">
        <v>5.0574859999999999</v>
      </c>
      <c r="DA5">
        <v>8.4698329999999995</v>
      </c>
      <c r="DB5">
        <v>13.413869999999999</v>
      </c>
      <c r="DC5">
        <v>13.61341</v>
      </c>
      <c r="DD5">
        <v>12.423870000000001</v>
      </c>
      <c r="DE5">
        <v>9.0679040000000004</v>
      </c>
      <c r="DF5">
        <v>1.3821680000000001</v>
      </c>
      <c r="DG5">
        <v>5.6933470000000002</v>
      </c>
      <c r="DH5">
        <v>9.9362469999999998</v>
      </c>
      <c r="DI5">
        <v>1.813302</v>
      </c>
      <c r="DJ5">
        <v>8.9255370000000003</v>
      </c>
      <c r="DK5">
        <v>8.4032119999999999</v>
      </c>
      <c r="DL5">
        <v>179.71549999999999</v>
      </c>
      <c r="DM5">
        <v>454.83710000000002</v>
      </c>
      <c r="DN5">
        <v>462.64069999999998</v>
      </c>
      <c r="DO5">
        <v>475.89909999999998</v>
      </c>
      <c r="DP5">
        <v>481.04640000000001</v>
      </c>
      <c r="DQ5">
        <v>422.11360000000002</v>
      </c>
      <c r="DR5">
        <v>285.06740000000002</v>
      </c>
      <c r="DS5">
        <v>201.797</v>
      </c>
      <c r="DT5">
        <v>176.86600000000001</v>
      </c>
      <c r="DU5">
        <v>159.0111</v>
      </c>
      <c r="DV5">
        <v>37.072029999999998</v>
      </c>
      <c r="DW5">
        <v>16.3569</v>
      </c>
      <c r="DX5">
        <v>8.0516179999999995</v>
      </c>
      <c r="DY5">
        <v>11.436590000000001</v>
      </c>
      <c r="DZ5">
        <v>15.541600000000001</v>
      </c>
      <c r="EA5">
        <v>15.72049</v>
      </c>
      <c r="EB5">
        <v>15.559710000000001</v>
      </c>
      <c r="EC5">
        <v>12.339790000000001</v>
      </c>
      <c r="ED5">
        <v>5.2812140000000003</v>
      </c>
      <c r="EE5">
        <v>8.7359150000000003</v>
      </c>
      <c r="EF5">
        <v>13.76459</v>
      </c>
      <c r="EG5">
        <v>5.8878360000000001</v>
      </c>
      <c r="EH5">
        <v>13.83325</v>
      </c>
      <c r="EI5">
        <v>14.552379999999999</v>
      </c>
      <c r="EJ5">
        <v>189.1551</v>
      </c>
      <c r="EK5">
        <v>462.92360000000002</v>
      </c>
      <c r="EL5">
        <v>470.63560000000001</v>
      </c>
      <c r="EM5">
        <v>483.56830000000002</v>
      </c>
      <c r="EN5">
        <v>490.35610000000003</v>
      </c>
      <c r="EO5">
        <v>429.43709999999999</v>
      </c>
      <c r="EP5">
        <v>292.06670000000003</v>
      </c>
      <c r="EQ5">
        <v>207.76060000000001</v>
      </c>
      <c r="ER5">
        <v>182.5889</v>
      </c>
      <c r="ES5">
        <v>164.71299999999999</v>
      </c>
      <c r="ET5">
        <v>50.828789999999998</v>
      </c>
      <c r="EU5">
        <v>50.434199999999997</v>
      </c>
      <c r="EV5">
        <v>50.134720000000002</v>
      </c>
      <c r="EW5">
        <v>50.131140000000002</v>
      </c>
      <c r="EX5">
        <v>50.04224</v>
      </c>
      <c r="EY5">
        <v>49.996139999999997</v>
      </c>
      <c r="EZ5">
        <v>50.113329999999998</v>
      </c>
      <c r="FA5">
        <v>50.631250000000001</v>
      </c>
      <c r="FB5">
        <v>52.439970000000002</v>
      </c>
      <c r="FC5">
        <v>54.401449999999997</v>
      </c>
      <c r="FD5">
        <v>55.744349999999997</v>
      </c>
      <c r="FE5">
        <v>56.854129999999998</v>
      </c>
      <c r="FF5">
        <v>56.84637</v>
      </c>
      <c r="FG5">
        <v>55.898890000000002</v>
      </c>
      <c r="FH5">
        <v>54.384239999999998</v>
      </c>
      <c r="FI5">
        <v>53.373010000000001</v>
      </c>
      <c r="FJ5">
        <v>52.529150000000001</v>
      </c>
      <c r="FK5">
        <v>51.165300000000002</v>
      </c>
      <c r="FL5">
        <v>50.218679999999999</v>
      </c>
      <c r="FM5">
        <v>49.558779999999999</v>
      </c>
      <c r="FN5">
        <v>47.957369999999997</v>
      </c>
      <c r="FO5">
        <v>47.86</v>
      </c>
      <c r="FP5">
        <v>48.877800000000001</v>
      </c>
      <c r="FQ5">
        <v>48.695149999999998</v>
      </c>
      <c r="FR5">
        <v>1</v>
      </c>
    </row>
    <row r="6" spans="1:174" x14ac:dyDescent="0.2">
      <c r="A6" t="s">
        <v>232</v>
      </c>
      <c r="B6" s="63">
        <v>41676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>
        <v>0</v>
      </c>
      <c r="W6">
        <v>0</v>
      </c>
      <c r="X6">
        <v>0</v>
      </c>
      <c r="Y6">
        <v>0</v>
      </c>
      <c r="Z6">
        <v>0</v>
      </c>
      <c r="AA6">
        <v>0</v>
      </c>
      <c r="AB6">
        <v>0</v>
      </c>
      <c r="AC6">
        <v>0</v>
      </c>
      <c r="AD6">
        <v>0</v>
      </c>
      <c r="AE6">
        <v>0</v>
      </c>
      <c r="AF6">
        <v>0</v>
      </c>
      <c r="AG6">
        <v>0</v>
      </c>
      <c r="AH6">
        <v>0</v>
      </c>
      <c r="AI6">
        <v>0</v>
      </c>
      <c r="AJ6">
        <v>0</v>
      </c>
      <c r="AK6">
        <v>0</v>
      </c>
      <c r="AL6">
        <v>0</v>
      </c>
      <c r="AM6">
        <v>0</v>
      </c>
      <c r="AN6">
        <v>0</v>
      </c>
      <c r="AO6">
        <v>0</v>
      </c>
      <c r="AP6">
        <v>0</v>
      </c>
      <c r="AQ6">
        <v>0</v>
      </c>
      <c r="AR6">
        <v>0</v>
      </c>
      <c r="AS6">
        <v>0</v>
      </c>
      <c r="AT6">
        <v>0</v>
      </c>
      <c r="AU6">
        <v>0</v>
      </c>
      <c r="AV6">
        <v>0</v>
      </c>
      <c r="AW6">
        <v>0</v>
      </c>
      <c r="AX6">
        <v>0</v>
      </c>
      <c r="AY6">
        <v>0</v>
      </c>
      <c r="AZ6">
        <v>0</v>
      </c>
      <c r="BA6">
        <v>0</v>
      </c>
      <c r="BB6">
        <v>0</v>
      </c>
      <c r="BC6">
        <v>0</v>
      </c>
      <c r="BD6">
        <v>0</v>
      </c>
      <c r="BE6">
        <v>0</v>
      </c>
      <c r="BF6">
        <v>0</v>
      </c>
      <c r="BG6">
        <v>0</v>
      </c>
      <c r="BH6">
        <v>0</v>
      </c>
      <c r="BI6">
        <v>0</v>
      </c>
      <c r="BJ6">
        <v>0</v>
      </c>
      <c r="BK6">
        <v>0</v>
      </c>
      <c r="BL6">
        <v>0</v>
      </c>
      <c r="BM6">
        <v>0</v>
      </c>
      <c r="BN6">
        <v>0</v>
      </c>
      <c r="BO6">
        <v>0</v>
      </c>
      <c r="BP6">
        <v>0</v>
      </c>
      <c r="BQ6">
        <v>0</v>
      </c>
      <c r="BR6">
        <v>0</v>
      </c>
      <c r="BS6">
        <v>0</v>
      </c>
      <c r="BT6">
        <v>0</v>
      </c>
      <c r="BU6">
        <v>0</v>
      </c>
      <c r="BV6">
        <v>0</v>
      </c>
      <c r="BW6">
        <v>0</v>
      </c>
      <c r="BX6">
        <v>0</v>
      </c>
      <c r="BY6">
        <v>0</v>
      </c>
      <c r="BZ6">
        <v>0</v>
      </c>
      <c r="CA6">
        <v>0</v>
      </c>
      <c r="CB6">
        <v>0</v>
      </c>
      <c r="CC6">
        <v>0</v>
      </c>
      <c r="CD6">
        <v>0</v>
      </c>
      <c r="CE6">
        <v>0</v>
      </c>
      <c r="CF6">
        <v>0</v>
      </c>
      <c r="CG6">
        <v>0</v>
      </c>
      <c r="CH6">
        <v>0</v>
      </c>
      <c r="CI6">
        <v>0</v>
      </c>
      <c r="CJ6">
        <v>0</v>
      </c>
      <c r="CK6">
        <v>0</v>
      </c>
      <c r="CL6">
        <v>0</v>
      </c>
      <c r="CM6">
        <v>0</v>
      </c>
      <c r="CN6">
        <v>0</v>
      </c>
      <c r="CO6">
        <v>0</v>
      </c>
      <c r="CP6">
        <v>0</v>
      </c>
      <c r="CQ6">
        <v>0</v>
      </c>
      <c r="CR6">
        <v>0</v>
      </c>
      <c r="CS6">
        <v>0</v>
      </c>
      <c r="CT6">
        <v>0</v>
      </c>
      <c r="CU6">
        <v>0</v>
      </c>
      <c r="CV6">
        <v>0</v>
      </c>
      <c r="CW6">
        <v>0</v>
      </c>
      <c r="CX6">
        <v>0</v>
      </c>
      <c r="CY6">
        <v>0</v>
      </c>
      <c r="CZ6">
        <v>0</v>
      </c>
      <c r="DA6">
        <v>0</v>
      </c>
      <c r="DB6">
        <v>0</v>
      </c>
      <c r="DC6">
        <v>0</v>
      </c>
      <c r="DD6">
        <v>0</v>
      </c>
      <c r="DE6">
        <v>0</v>
      </c>
      <c r="DF6">
        <v>0</v>
      </c>
      <c r="DG6">
        <v>0</v>
      </c>
      <c r="DH6">
        <v>0</v>
      </c>
      <c r="DI6">
        <v>0</v>
      </c>
      <c r="DJ6">
        <v>0</v>
      </c>
      <c r="DK6">
        <v>0</v>
      </c>
      <c r="DL6">
        <v>0</v>
      </c>
      <c r="DM6">
        <v>0</v>
      </c>
      <c r="DN6">
        <v>0</v>
      </c>
      <c r="DO6">
        <v>0</v>
      </c>
      <c r="DP6">
        <v>0</v>
      </c>
      <c r="DQ6">
        <v>0</v>
      </c>
      <c r="DR6">
        <v>0</v>
      </c>
      <c r="DS6">
        <v>0</v>
      </c>
      <c r="DT6">
        <v>0</v>
      </c>
      <c r="DU6">
        <v>0</v>
      </c>
      <c r="DV6">
        <v>0</v>
      </c>
      <c r="DW6">
        <v>0</v>
      </c>
      <c r="DX6">
        <v>0</v>
      </c>
      <c r="DY6">
        <v>0</v>
      </c>
      <c r="DZ6">
        <v>0</v>
      </c>
      <c r="EA6">
        <v>0</v>
      </c>
      <c r="EB6">
        <v>0</v>
      </c>
      <c r="EC6">
        <v>0</v>
      </c>
      <c r="ED6">
        <v>0</v>
      </c>
      <c r="EE6">
        <v>0</v>
      </c>
      <c r="EF6">
        <v>0</v>
      </c>
      <c r="EG6">
        <v>0</v>
      </c>
      <c r="EH6">
        <v>0</v>
      </c>
      <c r="EI6">
        <v>0</v>
      </c>
      <c r="EJ6">
        <v>0</v>
      </c>
      <c r="EK6">
        <v>0</v>
      </c>
      <c r="EL6">
        <v>0</v>
      </c>
      <c r="EM6">
        <v>0</v>
      </c>
      <c r="EN6">
        <v>0</v>
      </c>
      <c r="EO6">
        <v>0</v>
      </c>
      <c r="EP6">
        <v>0</v>
      </c>
      <c r="EQ6">
        <v>0</v>
      </c>
      <c r="ER6">
        <v>0</v>
      </c>
      <c r="ES6">
        <v>0</v>
      </c>
      <c r="ET6">
        <v>0</v>
      </c>
      <c r="EU6">
        <v>0</v>
      </c>
      <c r="EV6">
        <v>0</v>
      </c>
      <c r="EW6">
        <v>0</v>
      </c>
      <c r="EX6">
        <v>0</v>
      </c>
      <c r="EY6">
        <v>0</v>
      </c>
      <c r="EZ6">
        <v>0</v>
      </c>
      <c r="FA6">
        <v>0</v>
      </c>
      <c r="FB6">
        <v>0</v>
      </c>
      <c r="FC6">
        <v>0</v>
      </c>
      <c r="FD6">
        <v>0</v>
      </c>
      <c r="FE6">
        <v>0</v>
      </c>
      <c r="FF6">
        <v>0</v>
      </c>
      <c r="FG6">
        <v>0</v>
      </c>
      <c r="FH6">
        <v>0</v>
      </c>
      <c r="FI6">
        <v>0</v>
      </c>
      <c r="FJ6">
        <v>0</v>
      </c>
      <c r="FK6">
        <v>0</v>
      </c>
      <c r="FL6">
        <v>0</v>
      </c>
      <c r="FM6">
        <v>0</v>
      </c>
      <c r="FN6">
        <v>0</v>
      </c>
      <c r="FO6">
        <v>0</v>
      </c>
      <c r="FP6">
        <v>0</v>
      </c>
      <c r="FQ6">
        <v>0</v>
      </c>
      <c r="FR6">
        <v>0</v>
      </c>
    </row>
    <row r="7" spans="1:174" x14ac:dyDescent="0.2">
      <c r="A7" t="s">
        <v>232</v>
      </c>
      <c r="B7" s="63" t="s">
        <v>2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0</v>
      </c>
      <c r="V7">
        <v>0</v>
      </c>
      <c r="W7">
        <v>0</v>
      </c>
      <c r="X7">
        <v>0</v>
      </c>
      <c r="Y7">
        <v>0</v>
      </c>
      <c r="Z7">
        <v>0</v>
      </c>
      <c r="AA7">
        <v>0</v>
      </c>
      <c r="AB7">
        <v>0</v>
      </c>
      <c r="AC7">
        <v>0</v>
      </c>
      <c r="AD7">
        <v>0</v>
      </c>
      <c r="AE7">
        <v>0</v>
      </c>
      <c r="AF7">
        <v>0</v>
      </c>
      <c r="AG7">
        <v>0</v>
      </c>
      <c r="AH7">
        <v>0</v>
      </c>
      <c r="AI7">
        <v>0</v>
      </c>
      <c r="AJ7">
        <v>0</v>
      </c>
      <c r="AK7">
        <v>0</v>
      </c>
      <c r="AL7">
        <v>0</v>
      </c>
      <c r="AM7">
        <v>0</v>
      </c>
      <c r="AN7">
        <v>0</v>
      </c>
      <c r="AO7">
        <v>0</v>
      </c>
      <c r="AP7">
        <v>0</v>
      </c>
      <c r="AQ7">
        <v>0</v>
      </c>
      <c r="AR7">
        <v>0</v>
      </c>
      <c r="AS7">
        <v>0</v>
      </c>
      <c r="AT7">
        <v>0</v>
      </c>
      <c r="AU7">
        <v>0</v>
      </c>
      <c r="AV7">
        <v>0</v>
      </c>
      <c r="AW7">
        <v>0</v>
      </c>
      <c r="AX7">
        <v>0</v>
      </c>
      <c r="AY7">
        <v>0</v>
      </c>
      <c r="AZ7">
        <v>0</v>
      </c>
      <c r="BA7">
        <v>0</v>
      </c>
      <c r="BB7">
        <v>0</v>
      </c>
      <c r="BC7">
        <v>0</v>
      </c>
      <c r="BD7">
        <v>0</v>
      </c>
      <c r="BE7">
        <v>0</v>
      </c>
      <c r="BF7">
        <v>0</v>
      </c>
      <c r="BG7">
        <v>0</v>
      </c>
      <c r="BH7">
        <v>0</v>
      </c>
      <c r="BI7">
        <v>0</v>
      </c>
      <c r="BJ7">
        <v>0</v>
      </c>
      <c r="BK7">
        <v>0</v>
      </c>
      <c r="BL7">
        <v>0</v>
      </c>
      <c r="BM7">
        <v>0</v>
      </c>
      <c r="BN7">
        <v>0</v>
      </c>
      <c r="BO7">
        <v>0</v>
      </c>
      <c r="BP7">
        <v>0</v>
      </c>
      <c r="BQ7">
        <v>0</v>
      </c>
      <c r="BR7">
        <v>0</v>
      </c>
      <c r="BS7">
        <v>0</v>
      </c>
      <c r="BT7">
        <v>0</v>
      </c>
      <c r="BU7">
        <v>0</v>
      </c>
      <c r="BV7">
        <v>0</v>
      </c>
      <c r="BW7">
        <v>0</v>
      </c>
      <c r="BX7">
        <v>0</v>
      </c>
      <c r="BY7">
        <v>0</v>
      </c>
      <c r="BZ7">
        <v>0</v>
      </c>
      <c r="CA7">
        <v>0</v>
      </c>
      <c r="CB7">
        <v>0</v>
      </c>
      <c r="CC7">
        <v>0</v>
      </c>
      <c r="CD7">
        <v>0</v>
      </c>
      <c r="CE7">
        <v>0</v>
      </c>
      <c r="CF7">
        <v>0</v>
      </c>
      <c r="CG7">
        <v>0</v>
      </c>
      <c r="CH7">
        <v>0</v>
      </c>
      <c r="CI7">
        <v>0</v>
      </c>
      <c r="CJ7">
        <v>0</v>
      </c>
      <c r="CK7">
        <v>0</v>
      </c>
      <c r="CL7">
        <v>0</v>
      </c>
      <c r="CM7">
        <v>0</v>
      </c>
      <c r="CN7">
        <v>0</v>
      </c>
      <c r="CO7">
        <v>0</v>
      </c>
      <c r="CP7">
        <v>0</v>
      </c>
      <c r="CQ7">
        <v>0</v>
      </c>
      <c r="CR7">
        <v>0</v>
      </c>
      <c r="CS7">
        <v>0</v>
      </c>
      <c r="CT7">
        <v>0</v>
      </c>
      <c r="CU7">
        <v>0</v>
      </c>
      <c r="CV7">
        <v>0</v>
      </c>
      <c r="CW7">
        <v>0</v>
      </c>
      <c r="CX7">
        <v>0</v>
      </c>
      <c r="CY7">
        <v>0</v>
      </c>
      <c r="CZ7">
        <v>0</v>
      </c>
      <c r="DA7">
        <v>0</v>
      </c>
      <c r="DB7">
        <v>0</v>
      </c>
      <c r="DC7">
        <v>0</v>
      </c>
      <c r="DD7">
        <v>0</v>
      </c>
      <c r="DE7">
        <v>0</v>
      </c>
      <c r="DF7">
        <v>0</v>
      </c>
      <c r="DG7">
        <v>0</v>
      </c>
      <c r="DH7">
        <v>0</v>
      </c>
      <c r="DI7">
        <v>0</v>
      </c>
      <c r="DJ7">
        <v>0</v>
      </c>
      <c r="DK7">
        <v>0</v>
      </c>
      <c r="DL7">
        <v>0</v>
      </c>
      <c r="DM7">
        <v>0</v>
      </c>
      <c r="DN7">
        <v>0</v>
      </c>
      <c r="DO7">
        <v>0</v>
      </c>
      <c r="DP7">
        <v>0</v>
      </c>
      <c r="DQ7">
        <v>0</v>
      </c>
      <c r="DR7">
        <v>0</v>
      </c>
      <c r="DS7">
        <v>0</v>
      </c>
      <c r="DT7">
        <v>0</v>
      </c>
      <c r="DU7">
        <v>0</v>
      </c>
      <c r="DV7">
        <v>0</v>
      </c>
      <c r="DW7">
        <v>0</v>
      </c>
      <c r="DX7">
        <v>0</v>
      </c>
      <c r="DY7">
        <v>0</v>
      </c>
      <c r="DZ7">
        <v>0</v>
      </c>
      <c r="EA7">
        <v>0</v>
      </c>
      <c r="EB7">
        <v>0</v>
      </c>
      <c r="EC7">
        <v>0</v>
      </c>
      <c r="ED7">
        <v>0</v>
      </c>
      <c r="EE7">
        <v>0</v>
      </c>
      <c r="EF7">
        <v>0</v>
      </c>
      <c r="EG7">
        <v>0</v>
      </c>
      <c r="EH7">
        <v>0</v>
      </c>
      <c r="EI7">
        <v>0</v>
      </c>
      <c r="EJ7">
        <v>0</v>
      </c>
      <c r="EK7">
        <v>0</v>
      </c>
      <c r="EL7">
        <v>0</v>
      </c>
      <c r="EM7">
        <v>0</v>
      </c>
      <c r="EN7">
        <v>0</v>
      </c>
      <c r="EO7">
        <v>0</v>
      </c>
      <c r="EP7">
        <v>0</v>
      </c>
      <c r="EQ7">
        <v>0</v>
      </c>
      <c r="ER7">
        <v>0</v>
      </c>
      <c r="ES7">
        <v>0</v>
      </c>
      <c r="ET7">
        <v>0</v>
      </c>
      <c r="EU7">
        <v>0</v>
      </c>
      <c r="EV7">
        <v>0</v>
      </c>
      <c r="EW7">
        <v>0</v>
      </c>
      <c r="EX7">
        <v>0</v>
      </c>
      <c r="EY7">
        <v>0</v>
      </c>
      <c r="EZ7">
        <v>0</v>
      </c>
      <c r="FA7">
        <v>0</v>
      </c>
      <c r="FB7">
        <v>0</v>
      </c>
      <c r="FC7">
        <v>0</v>
      </c>
      <c r="FD7">
        <v>0</v>
      </c>
      <c r="FE7">
        <v>0</v>
      </c>
      <c r="FF7">
        <v>0</v>
      </c>
      <c r="FG7">
        <v>0</v>
      </c>
      <c r="FH7">
        <v>0</v>
      </c>
      <c r="FI7">
        <v>0</v>
      </c>
      <c r="FJ7">
        <v>0</v>
      </c>
      <c r="FK7">
        <v>0</v>
      </c>
      <c r="FL7">
        <v>0</v>
      </c>
      <c r="FM7">
        <v>0</v>
      </c>
      <c r="FN7">
        <v>0</v>
      </c>
      <c r="FO7">
        <v>0</v>
      </c>
      <c r="FP7">
        <v>0</v>
      </c>
      <c r="FQ7">
        <v>0</v>
      </c>
      <c r="FR7">
        <v>0</v>
      </c>
    </row>
    <row r="8" spans="1:174" x14ac:dyDescent="0.2">
      <c r="A8" t="s">
        <v>233</v>
      </c>
      <c r="B8" s="63">
        <v>41676</v>
      </c>
      <c r="C8">
        <v>66</v>
      </c>
      <c r="D8">
        <v>66</v>
      </c>
      <c r="E8">
        <v>7.9829999999999997</v>
      </c>
      <c r="F8">
        <v>105.3994</v>
      </c>
      <c r="G8">
        <v>104.2903</v>
      </c>
      <c r="H8">
        <v>102.9853</v>
      </c>
      <c r="I8">
        <v>101.6661</v>
      </c>
      <c r="J8">
        <v>102.4062</v>
      </c>
      <c r="K8">
        <v>106.07380000000001</v>
      </c>
      <c r="L8">
        <v>109.20050000000001</v>
      </c>
      <c r="M8">
        <v>107.98690000000001</v>
      </c>
      <c r="N8">
        <v>109.0749</v>
      </c>
      <c r="O8">
        <v>109.6902</v>
      </c>
      <c r="P8">
        <v>110.7838</v>
      </c>
      <c r="Q8">
        <v>111.17700000000001</v>
      </c>
      <c r="R8">
        <v>109.3659</v>
      </c>
      <c r="S8">
        <v>108.4883</v>
      </c>
      <c r="T8">
        <v>106.5795</v>
      </c>
      <c r="U8">
        <v>103.4006</v>
      </c>
      <c r="V8">
        <v>104.3</v>
      </c>
      <c r="W8">
        <v>107.9076</v>
      </c>
      <c r="X8">
        <v>107.3216</v>
      </c>
      <c r="Y8">
        <v>107.6046</v>
      </c>
      <c r="Z8">
        <v>106.6802</v>
      </c>
      <c r="AA8">
        <v>107.1747</v>
      </c>
      <c r="AB8">
        <v>106.9367</v>
      </c>
      <c r="AC8">
        <v>106.9325</v>
      </c>
      <c r="AD8">
        <v>2.1899489999999999</v>
      </c>
      <c r="AE8">
        <v>2.0188700000000002</v>
      </c>
      <c r="AF8">
        <v>6.5241910000000001</v>
      </c>
      <c r="AG8">
        <v>5.5254750000000001</v>
      </c>
      <c r="AH8">
        <v>-1.9056709999999999</v>
      </c>
      <c r="AI8">
        <v>2.8851650000000002</v>
      </c>
      <c r="AJ8">
        <v>-0.39877580000000001</v>
      </c>
      <c r="AK8">
        <v>-8.5199479999999994</v>
      </c>
      <c r="AL8">
        <v>-7.5311009999999996</v>
      </c>
      <c r="AM8">
        <v>-6.8286499999999997</v>
      </c>
      <c r="AN8">
        <v>-5.8675470000000001</v>
      </c>
      <c r="AO8">
        <v>-8.4454139999999995</v>
      </c>
      <c r="AP8">
        <v>-9.6793150000000008</v>
      </c>
      <c r="AQ8">
        <v>-10.9771</v>
      </c>
      <c r="AR8">
        <v>26.034089999999999</v>
      </c>
      <c r="AS8">
        <v>87.973929999999996</v>
      </c>
      <c r="AT8">
        <v>90.115350000000007</v>
      </c>
      <c r="AU8">
        <v>94.510080000000002</v>
      </c>
      <c r="AV8">
        <v>93.314539999999994</v>
      </c>
      <c r="AW8">
        <v>80.695890000000006</v>
      </c>
      <c r="AX8">
        <v>56.698650000000001</v>
      </c>
      <c r="AY8">
        <v>42.807969999999997</v>
      </c>
      <c r="AZ8">
        <v>35.297969999999999</v>
      </c>
      <c r="BA8">
        <v>31.874310000000001</v>
      </c>
      <c r="BB8">
        <v>2.7876340000000002</v>
      </c>
      <c r="BC8">
        <v>2.6655180000000001</v>
      </c>
      <c r="BD8">
        <v>7.0982719999999997</v>
      </c>
      <c r="BE8">
        <v>6.0571200000000003</v>
      </c>
      <c r="BF8">
        <v>-1.433514</v>
      </c>
      <c r="BG8">
        <v>3.4860099999999998</v>
      </c>
      <c r="BH8">
        <v>0.25503310000000001</v>
      </c>
      <c r="BI8">
        <v>-7.8459450000000004</v>
      </c>
      <c r="BJ8">
        <v>-6.7677370000000003</v>
      </c>
      <c r="BK8">
        <v>-6.0530419999999996</v>
      </c>
      <c r="BL8">
        <v>-5.0781580000000002</v>
      </c>
      <c r="BM8">
        <v>-7.5736910000000002</v>
      </c>
      <c r="BN8">
        <v>-8.6310520000000004</v>
      </c>
      <c r="BO8">
        <v>-9.838355</v>
      </c>
      <c r="BP8">
        <v>27.47804</v>
      </c>
      <c r="BQ8">
        <v>89.683109999999999</v>
      </c>
      <c r="BR8">
        <v>91.593860000000006</v>
      </c>
      <c r="BS8">
        <v>95.652420000000006</v>
      </c>
      <c r="BT8">
        <v>94.388480000000001</v>
      </c>
      <c r="BU8">
        <v>81.603870000000001</v>
      </c>
      <c r="BV8">
        <v>57.647849999999998</v>
      </c>
      <c r="BW8">
        <v>43.767629999999997</v>
      </c>
      <c r="BX8">
        <v>36.215000000000003</v>
      </c>
      <c r="BY8">
        <v>32.839829999999999</v>
      </c>
      <c r="BZ8">
        <v>3.2015889999999998</v>
      </c>
      <c r="CA8">
        <v>3.1133839999999999</v>
      </c>
      <c r="CB8">
        <v>7.4958790000000004</v>
      </c>
      <c r="CC8">
        <v>6.4253359999999997</v>
      </c>
      <c r="CD8">
        <v>-1.1065</v>
      </c>
      <c r="CE8">
        <v>3.9021530000000002</v>
      </c>
      <c r="CF8">
        <v>0.70785920000000002</v>
      </c>
      <c r="CG8">
        <v>-7.3791320000000002</v>
      </c>
      <c r="CH8">
        <v>-6.2390340000000002</v>
      </c>
      <c r="CI8">
        <v>-5.5158579999999997</v>
      </c>
      <c r="CJ8">
        <v>-4.5314300000000003</v>
      </c>
      <c r="CK8">
        <v>-6.9699390000000001</v>
      </c>
      <c r="CL8">
        <v>-7.9050289999999999</v>
      </c>
      <c r="CM8">
        <v>-9.0496630000000007</v>
      </c>
      <c r="CN8">
        <v>28.478120000000001</v>
      </c>
      <c r="CO8">
        <v>90.866889999999998</v>
      </c>
      <c r="CP8">
        <v>92.61788</v>
      </c>
      <c r="CQ8">
        <v>96.443600000000004</v>
      </c>
      <c r="CR8">
        <v>95.132279999999994</v>
      </c>
      <c r="CS8">
        <v>82.232730000000004</v>
      </c>
      <c r="CT8">
        <v>58.30527</v>
      </c>
      <c r="CU8">
        <v>44.432290000000002</v>
      </c>
      <c r="CV8">
        <v>36.850119999999997</v>
      </c>
      <c r="CW8">
        <v>33.508540000000004</v>
      </c>
      <c r="CX8">
        <v>3.6155439999999999</v>
      </c>
      <c r="CY8">
        <v>3.5612509999999999</v>
      </c>
      <c r="CZ8">
        <v>7.8934860000000002</v>
      </c>
      <c r="DA8">
        <v>6.793552</v>
      </c>
      <c r="DB8">
        <v>-0.77948640000000002</v>
      </c>
      <c r="DC8">
        <v>4.3182970000000003</v>
      </c>
      <c r="DD8">
        <v>1.160685</v>
      </c>
      <c r="DE8">
        <v>-6.9123200000000002</v>
      </c>
      <c r="DF8">
        <v>-5.710331</v>
      </c>
      <c r="DG8">
        <v>-4.9786739999999998</v>
      </c>
      <c r="DH8">
        <v>-3.9847009999999998</v>
      </c>
      <c r="DI8">
        <v>-6.366187</v>
      </c>
      <c r="DJ8">
        <v>-7.1790060000000002</v>
      </c>
      <c r="DK8">
        <v>-8.2609700000000004</v>
      </c>
      <c r="DL8">
        <v>29.478200000000001</v>
      </c>
      <c r="DM8">
        <v>92.050669999999997</v>
      </c>
      <c r="DN8">
        <v>93.641900000000007</v>
      </c>
      <c r="DO8">
        <v>97.234790000000004</v>
      </c>
      <c r="DP8">
        <v>95.876080000000002</v>
      </c>
      <c r="DQ8">
        <v>82.861599999999996</v>
      </c>
      <c r="DR8">
        <v>58.962690000000002</v>
      </c>
      <c r="DS8">
        <v>45.09695</v>
      </c>
      <c r="DT8">
        <v>37.485250000000001</v>
      </c>
      <c r="DU8">
        <v>34.177259999999997</v>
      </c>
      <c r="DV8">
        <v>4.2132300000000003</v>
      </c>
      <c r="DW8">
        <v>4.2078990000000003</v>
      </c>
      <c r="DX8">
        <v>8.4675659999999997</v>
      </c>
      <c r="DY8">
        <v>7.3251980000000003</v>
      </c>
      <c r="DZ8">
        <v>-0.30732999999999999</v>
      </c>
      <c r="EA8">
        <v>4.9191419999999999</v>
      </c>
      <c r="EB8">
        <v>1.8144940000000001</v>
      </c>
      <c r="EC8">
        <v>-6.2383170000000003</v>
      </c>
      <c r="ED8">
        <v>-4.946968</v>
      </c>
      <c r="EE8">
        <v>-4.2030659999999997</v>
      </c>
      <c r="EF8">
        <v>-3.1953130000000001</v>
      </c>
      <c r="EG8">
        <v>-5.4944639999999998</v>
      </c>
      <c r="EH8">
        <v>-6.1307429999999998</v>
      </c>
      <c r="EI8">
        <v>-7.1222219999999998</v>
      </c>
      <c r="EJ8">
        <v>30.922149999999998</v>
      </c>
      <c r="EK8">
        <v>93.75985</v>
      </c>
      <c r="EL8">
        <v>95.120410000000007</v>
      </c>
      <c r="EM8">
        <v>98.377129999999994</v>
      </c>
      <c r="EN8">
        <v>96.950010000000006</v>
      </c>
      <c r="EO8">
        <v>83.769580000000005</v>
      </c>
      <c r="EP8">
        <v>59.911900000000003</v>
      </c>
      <c r="EQ8">
        <v>46.056609999999999</v>
      </c>
      <c r="ER8">
        <v>38.402279999999998</v>
      </c>
      <c r="ES8">
        <v>35.142780000000002</v>
      </c>
      <c r="ET8">
        <v>44.615070000000003</v>
      </c>
      <c r="EU8">
        <v>45.00329</v>
      </c>
      <c r="EV8">
        <v>44.844180000000001</v>
      </c>
      <c r="EW8">
        <v>44.872019999999999</v>
      </c>
      <c r="EX8">
        <v>44.613549999999996</v>
      </c>
      <c r="EY8">
        <v>45.176340000000003</v>
      </c>
      <c r="EZ8">
        <v>45.160139999999998</v>
      </c>
      <c r="FA8">
        <v>45.188499999999998</v>
      </c>
      <c r="FB8">
        <v>47.433300000000003</v>
      </c>
      <c r="FC8">
        <v>49.169960000000003</v>
      </c>
      <c r="FD8">
        <v>50.728580000000001</v>
      </c>
      <c r="FE8">
        <v>51.150649999999999</v>
      </c>
      <c r="FF8">
        <v>50.60868</v>
      </c>
      <c r="FG8">
        <v>49.982140000000001</v>
      </c>
      <c r="FH8">
        <v>49.880629999999996</v>
      </c>
      <c r="FI8">
        <v>51.734749999999998</v>
      </c>
      <c r="FJ8">
        <v>51.974040000000002</v>
      </c>
      <c r="FK8">
        <v>51.906039999999997</v>
      </c>
      <c r="FL8">
        <v>51.461359999999999</v>
      </c>
      <c r="FM8">
        <v>50.682160000000003</v>
      </c>
      <c r="FN8">
        <v>50.220759999999999</v>
      </c>
      <c r="FO8">
        <v>49.906759999999998</v>
      </c>
      <c r="FP8">
        <v>49.322800000000001</v>
      </c>
      <c r="FQ8">
        <v>49.176819999999999</v>
      </c>
      <c r="FR8">
        <v>1</v>
      </c>
    </row>
    <row r="9" spans="1:174" x14ac:dyDescent="0.2">
      <c r="A9" t="s">
        <v>233</v>
      </c>
      <c r="B9" s="63" t="s">
        <v>2</v>
      </c>
      <c r="C9">
        <v>66</v>
      </c>
      <c r="D9">
        <v>66</v>
      </c>
      <c r="E9">
        <v>7.9829999999999997</v>
      </c>
      <c r="F9">
        <v>105.3994</v>
      </c>
      <c r="G9">
        <v>104.2903</v>
      </c>
      <c r="H9">
        <v>102.9853</v>
      </c>
      <c r="I9">
        <v>101.6661</v>
      </c>
      <c r="J9">
        <v>102.4062</v>
      </c>
      <c r="K9">
        <v>106.07380000000001</v>
      </c>
      <c r="L9">
        <v>109.20050000000001</v>
      </c>
      <c r="M9">
        <v>107.98690000000001</v>
      </c>
      <c r="N9">
        <v>109.0749</v>
      </c>
      <c r="O9">
        <v>109.6902</v>
      </c>
      <c r="P9">
        <v>110.7838</v>
      </c>
      <c r="Q9">
        <v>111.17700000000001</v>
      </c>
      <c r="R9">
        <v>109.3659</v>
      </c>
      <c r="S9">
        <v>108.4883</v>
      </c>
      <c r="T9">
        <v>106.5795</v>
      </c>
      <c r="U9">
        <v>103.4006</v>
      </c>
      <c r="V9">
        <v>104.3</v>
      </c>
      <c r="W9">
        <v>107.9076</v>
      </c>
      <c r="X9">
        <v>107.3216</v>
      </c>
      <c r="Y9">
        <v>107.6046</v>
      </c>
      <c r="Z9">
        <v>106.6802</v>
      </c>
      <c r="AA9">
        <v>107.1747</v>
      </c>
      <c r="AB9">
        <v>106.9367</v>
      </c>
      <c r="AC9">
        <v>106.9325</v>
      </c>
      <c r="AD9">
        <v>2.1899489999999999</v>
      </c>
      <c r="AE9">
        <v>2.0188700000000002</v>
      </c>
      <c r="AF9">
        <v>6.5241910000000001</v>
      </c>
      <c r="AG9">
        <v>5.5254750000000001</v>
      </c>
      <c r="AH9">
        <v>-1.9056709999999999</v>
      </c>
      <c r="AI9">
        <v>2.8851650000000002</v>
      </c>
      <c r="AJ9">
        <v>-0.39877580000000001</v>
      </c>
      <c r="AK9">
        <v>-8.5199479999999994</v>
      </c>
      <c r="AL9">
        <v>-7.5311009999999996</v>
      </c>
      <c r="AM9">
        <v>-6.8286499999999997</v>
      </c>
      <c r="AN9">
        <v>-5.8675470000000001</v>
      </c>
      <c r="AO9">
        <v>-8.4454139999999995</v>
      </c>
      <c r="AP9">
        <v>-9.6793150000000008</v>
      </c>
      <c r="AQ9">
        <v>-10.9771</v>
      </c>
      <c r="AR9">
        <v>26.034089999999999</v>
      </c>
      <c r="AS9">
        <v>87.973929999999996</v>
      </c>
      <c r="AT9">
        <v>90.115350000000007</v>
      </c>
      <c r="AU9">
        <v>94.510080000000002</v>
      </c>
      <c r="AV9">
        <v>93.314539999999994</v>
      </c>
      <c r="AW9">
        <v>80.695890000000006</v>
      </c>
      <c r="AX9">
        <v>56.698650000000001</v>
      </c>
      <c r="AY9">
        <v>42.807969999999997</v>
      </c>
      <c r="AZ9">
        <v>35.297969999999999</v>
      </c>
      <c r="BA9">
        <v>31.874310000000001</v>
      </c>
      <c r="BB9">
        <v>2.7876340000000002</v>
      </c>
      <c r="BC9">
        <v>2.6655180000000001</v>
      </c>
      <c r="BD9">
        <v>7.0982719999999997</v>
      </c>
      <c r="BE9">
        <v>6.0571200000000003</v>
      </c>
      <c r="BF9">
        <v>-1.433514</v>
      </c>
      <c r="BG9">
        <v>3.4860099999999998</v>
      </c>
      <c r="BH9">
        <v>0.25503310000000001</v>
      </c>
      <c r="BI9">
        <v>-7.8459450000000004</v>
      </c>
      <c r="BJ9">
        <v>-6.7677370000000003</v>
      </c>
      <c r="BK9">
        <v>-6.0530419999999996</v>
      </c>
      <c r="BL9">
        <v>-5.0781580000000002</v>
      </c>
      <c r="BM9">
        <v>-7.5736910000000002</v>
      </c>
      <c r="BN9">
        <v>-8.6310520000000004</v>
      </c>
      <c r="BO9">
        <v>-9.838355</v>
      </c>
      <c r="BP9">
        <v>27.47804</v>
      </c>
      <c r="BQ9">
        <v>89.683109999999999</v>
      </c>
      <c r="BR9">
        <v>91.593860000000006</v>
      </c>
      <c r="BS9">
        <v>95.652420000000006</v>
      </c>
      <c r="BT9">
        <v>94.388480000000001</v>
      </c>
      <c r="BU9">
        <v>81.603870000000001</v>
      </c>
      <c r="BV9">
        <v>57.647849999999998</v>
      </c>
      <c r="BW9">
        <v>43.767629999999997</v>
      </c>
      <c r="BX9">
        <v>36.215000000000003</v>
      </c>
      <c r="BY9">
        <v>32.839829999999999</v>
      </c>
      <c r="BZ9">
        <v>3.2015889999999998</v>
      </c>
      <c r="CA9">
        <v>3.1133839999999999</v>
      </c>
      <c r="CB9">
        <v>7.4958790000000004</v>
      </c>
      <c r="CC9">
        <v>6.4253359999999997</v>
      </c>
      <c r="CD9">
        <v>-1.1065</v>
      </c>
      <c r="CE9">
        <v>3.9021530000000002</v>
      </c>
      <c r="CF9">
        <v>0.70785920000000002</v>
      </c>
      <c r="CG9">
        <v>-7.3791320000000002</v>
      </c>
      <c r="CH9">
        <v>-6.2390340000000002</v>
      </c>
      <c r="CI9">
        <v>-5.5158579999999997</v>
      </c>
      <c r="CJ9">
        <v>-4.5314300000000003</v>
      </c>
      <c r="CK9">
        <v>-6.9699390000000001</v>
      </c>
      <c r="CL9">
        <v>-7.9050289999999999</v>
      </c>
      <c r="CM9">
        <v>-9.0496630000000007</v>
      </c>
      <c r="CN9">
        <v>28.478120000000001</v>
      </c>
      <c r="CO9">
        <v>90.866889999999998</v>
      </c>
      <c r="CP9">
        <v>92.61788</v>
      </c>
      <c r="CQ9">
        <v>96.443600000000004</v>
      </c>
      <c r="CR9">
        <v>95.132279999999994</v>
      </c>
      <c r="CS9">
        <v>82.232730000000004</v>
      </c>
      <c r="CT9">
        <v>58.30527</v>
      </c>
      <c r="CU9">
        <v>44.432290000000002</v>
      </c>
      <c r="CV9">
        <v>36.850119999999997</v>
      </c>
      <c r="CW9">
        <v>33.508540000000004</v>
      </c>
      <c r="CX9">
        <v>3.6155439999999999</v>
      </c>
      <c r="CY9">
        <v>3.5612509999999999</v>
      </c>
      <c r="CZ9">
        <v>7.8934860000000002</v>
      </c>
      <c r="DA9">
        <v>6.793552</v>
      </c>
      <c r="DB9">
        <v>-0.77948640000000002</v>
      </c>
      <c r="DC9">
        <v>4.3182970000000003</v>
      </c>
      <c r="DD9">
        <v>1.160685</v>
      </c>
      <c r="DE9">
        <v>-6.9123200000000002</v>
      </c>
      <c r="DF9">
        <v>-5.710331</v>
      </c>
      <c r="DG9">
        <v>-4.9786739999999998</v>
      </c>
      <c r="DH9">
        <v>-3.9847009999999998</v>
      </c>
      <c r="DI9">
        <v>-6.366187</v>
      </c>
      <c r="DJ9">
        <v>-7.1790060000000002</v>
      </c>
      <c r="DK9">
        <v>-8.2609700000000004</v>
      </c>
      <c r="DL9">
        <v>29.478200000000001</v>
      </c>
      <c r="DM9">
        <v>92.050669999999997</v>
      </c>
      <c r="DN9">
        <v>93.641900000000007</v>
      </c>
      <c r="DO9">
        <v>97.234790000000004</v>
      </c>
      <c r="DP9">
        <v>95.876080000000002</v>
      </c>
      <c r="DQ9">
        <v>82.861599999999996</v>
      </c>
      <c r="DR9">
        <v>58.962690000000002</v>
      </c>
      <c r="DS9">
        <v>45.09695</v>
      </c>
      <c r="DT9">
        <v>37.485250000000001</v>
      </c>
      <c r="DU9">
        <v>34.177259999999997</v>
      </c>
      <c r="DV9">
        <v>4.2132300000000003</v>
      </c>
      <c r="DW9">
        <v>4.2078990000000003</v>
      </c>
      <c r="DX9">
        <v>8.4675659999999997</v>
      </c>
      <c r="DY9">
        <v>7.3251980000000003</v>
      </c>
      <c r="DZ9">
        <v>-0.30732999999999999</v>
      </c>
      <c r="EA9">
        <v>4.9191419999999999</v>
      </c>
      <c r="EB9">
        <v>1.8144940000000001</v>
      </c>
      <c r="EC9">
        <v>-6.2383170000000003</v>
      </c>
      <c r="ED9">
        <v>-4.946968</v>
      </c>
      <c r="EE9">
        <v>-4.2030659999999997</v>
      </c>
      <c r="EF9">
        <v>-3.1953130000000001</v>
      </c>
      <c r="EG9">
        <v>-5.4944639999999998</v>
      </c>
      <c r="EH9">
        <v>-6.1307429999999998</v>
      </c>
      <c r="EI9">
        <v>-7.1222219999999998</v>
      </c>
      <c r="EJ9">
        <v>30.922149999999998</v>
      </c>
      <c r="EK9">
        <v>93.75985</v>
      </c>
      <c r="EL9">
        <v>95.120410000000007</v>
      </c>
      <c r="EM9">
        <v>98.377129999999994</v>
      </c>
      <c r="EN9">
        <v>96.950010000000006</v>
      </c>
      <c r="EO9">
        <v>83.769580000000005</v>
      </c>
      <c r="EP9">
        <v>59.911900000000003</v>
      </c>
      <c r="EQ9">
        <v>46.056609999999999</v>
      </c>
      <c r="ER9">
        <v>38.402279999999998</v>
      </c>
      <c r="ES9">
        <v>35.142780000000002</v>
      </c>
      <c r="ET9">
        <v>44.615070000000003</v>
      </c>
      <c r="EU9">
        <v>45.00329</v>
      </c>
      <c r="EV9">
        <v>44.844180000000001</v>
      </c>
      <c r="EW9">
        <v>44.872019999999999</v>
      </c>
      <c r="EX9">
        <v>44.613549999999996</v>
      </c>
      <c r="EY9">
        <v>45.176340000000003</v>
      </c>
      <c r="EZ9">
        <v>45.160139999999998</v>
      </c>
      <c r="FA9">
        <v>45.188499999999998</v>
      </c>
      <c r="FB9">
        <v>47.433300000000003</v>
      </c>
      <c r="FC9">
        <v>49.169960000000003</v>
      </c>
      <c r="FD9">
        <v>50.728580000000001</v>
      </c>
      <c r="FE9">
        <v>51.150649999999999</v>
      </c>
      <c r="FF9">
        <v>50.60868</v>
      </c>
      <c r="FG9">
        <v>49.982140000000001</v>
      </c>
      <c r="FH9">
        <v>49.880629999999996</v>
      </c>
      <c r="FI9">
        <v>51.734749999999998</v>
      </c>
      <c r="FJ9">
        <v>51.974040000000002</v>
      </c>
      <c r="FK9">
        <v>51.906039999999997</v>
      </c>
      <c r="FL9">
        <v>51.461359999999999</v>
      </c>
      <c r="FM9">
        <v>50.682160000000003</v>
      </c>
      <c r="FN9">
        <v>50.220759999999999</v>
      </c>
      <c r="FO9">
        <v>49.906759999999998</v>
      </c>
      <c r="FP9">
        <v>49.322800000000001</v>
      </c>
      <c r="FQ9">
        <v>49.176819999999999</v>
      </c>
      <c r="FR9">
        <v>1</v>
      </c>
    </row>
    <row r="10" spans="1:174" x14ac:dyDescent="0.2">
      <c r="D10" s="63"/>
    </row>
    <row r="11" spans="1:174" x14ac:dyDescent="0.2">
      <c r="D11" s="63"/>
    </row>
    <row r="12" spans="1:174" x14ac:dyDescent="0.2">
      <c r="D12" s="63"/>
    </row>
    <row r="13" spans="1:174" x14ac:dyDescent="0.2">
      <c r="D13" s="63"/>
    </row>
    <row r="14" spans="1:174" x14ac:dyDescent="0.2">
      <c r="D14" s="63"/>
    </row>
    <row r="15" spans="1:174" x14ac:dyDescent="0.2">
      <c r="D15" s="63"/>
    </row>
    <row r="16" spans="1:174" x14ac:dyDescent="0.2">
      <c r="D16" s="63"/>
    </row>
    <row r="17" spans="4:82" x14ac:dyDescent="0.2">
      <c r="D17" s="63"/>
    </row>
    <row r="18" spans="4:82" x14ac:dyDescent="0.2">
      <c r="D18" s="63"/>
      <c r="CD18" s="55"/>
    </row>
    <row r="19" spans="4:82" x14ac:dyDescent="0.2">
      <c r="D19" s="63"/>
    </row>
    <row r="20" spans="4:82" x14ac:dyDescent="0.2">
      <c r="D20" s="63"/>
    </row>
    <row r="21" spans="4:82" x14ac:dyDescent="0.2">
      <c r="D21" s="63"/>
    </row>
    <row r="22" spans="4:82" x14ac:dyDescent="0.2">
      <c r="D22" s="63"/>
    </row>
    <row r="23" spans="4:82" x14ac:dyDescent="0.2">
      <c r="D23" s="63"/>
    </row>
    <row r="24" spans="4:82" x14ac:dyDescent="0.2">
      <c r="D24" s="63"/>
    </row>
    <row r="25" spans="4:82" x14ac:dyDescent="0.2">
      <c r="D25" s="63"/>
    </row>
    <row r="26" spans="4:82" x14ac:dyDescent="0.2">
      <c r="D26" s="63"/>
    </row>
    <row r="27" spans="4:82" x14ac:dyDescent="0.2">
      <c r="D27" s="63"/>
    </row>
    <row r="28" spans="4:82" x14ac:dyDescent="0.2">
      <c r="D28" s="63"/>
    </row>
    <row r="29" spans="4:82" x14ac:dyDescent="0.2">
      <c r="D29" s="63"/>
    </row>
    <row r="30" spans="4:82" x14ac:dyDescent="0.2">
      <c r="D30" s="63"/>
    </row>
    <row r="31" spans="4:82" x14ac:dyDescent="0.2">
      <c r="D31" s="63"/>
    </row>
    <row r="32" spans="4:82" x14ac:dyDescent="0.2">
      <c r="D32" s="63"/>
    </row>
    <row r="33" spans="4:4" x14ac:dyDescent="0.2">
      <c r="D33" s="63"/>
    </row>
    <row r="34" spans="4:4" x14ac:dyDescent="0.2">
      <c r="D34" s="63"/>
    </row>
    <row r="35" spans="4:4" x14ac:dyDescent="0.2">
      <c r="D35" s="63"/>
    </row>
    <row r="36" spans="4:4" x14ac:dyDescent="0.2">
      <c r="D36" s="63"/>
    </row>
    <row r="37" spans="4:4" x14ac:dyDescent="0.2">
      <c r="D37" s="63"/>
    </row>
    <row r="38" spans="4:4" x14ac:dyDescent="0.2">
      <c r="D38" s="63"/>
    </row>
    <row r="39" spans="4:4" x14ac:dyDescent="0.2">
      <c r="D39" s="63"/>
    </row>
    <row r="40" spans="4:4" x14ac:dyDescent="0.2">
      <c r="D40" s="63"/>
    </row>
    <row r="41" spans="4:4" x14ac:dyDescent="0.2">
      <c r="D41" s="63"/>
    </row>
    <row r="42" spans="4:4" x14ac:dyDescent="0.2">
      <c r="D42" s="63"/>
    </row>
    <row r="43" spans="4:4" x14ac:dyDescent="0.2">
      <c r="D43" s="63"/>
    </row>
    <row r="44" spans="4:4" x14ac:dyDescent="0.2">
      <c r="D44" s="63"/>
    </row>
    <row r="45" spans="4:4" x14ac:dyDescent="0.2">
      <c r="D45" s="63"/>
    </row>
    <row r="46" spans="4:4" x14ac:dyDescent="0.2">
      <c r="D46" s="63"/>
    </row>
    <row r="47" spans="4:4" x14ac:dyDescent="0.2">
      <c r="D47" s="63"/>
    </row>
    <row r="48" spans="4:4" x14ac:dyDescent="0.2">
      <c r="D48" s="63"/>
    </row>
    <row r="49" spans="4:4" x14ac:dyDescent="0.2">
      <c r="D49" s="63"/>
    </row>
    <row r="50" spans="4:4" x14ac:dyDescent="0.2">
      <c r="D50" s="63"/>
    </row>
    <row r="51" spans="4:4" x14ac:dyDescent="0.2">
      <c r="D51" s="63"/>
    </row>
    <row r="52" spans="4:4" x14ac:dyDescent="0.2">
      <c r="D52" s="63"/>
    </row>
    <row r="53" spans="4:4" x14ac:dyDescent="0.2">
      <c r="D53" s="63"/>
    </row>
    <row r="54" spans="4:4" x14ac:dyDescent="0.2">
      <c r="D54" s="63"/>
    </row>
    <row r="55" spans="4:4" x14ac:dyDescent="0.2">
      <c r="D55" s="63"/>
    </row>
    <row r="56" spans="4:4" x14ac:dyDescent="0.2">
      <c r="D56" s="63"/>
    </row>
    <row r="57" spans="4:4" x14ac:dyDescent="0.2">
      <c r="D57" s="63"/>
    </row>
    <row r="58" spans="4:4" x14ac:dyDescent="0.2">
      <c r="D58" s="63"/>
    </row>
    <row r="59" spans="4:4" x14ac:dyDescent="0.2">
      <c r="D59" s="63"/>
    </row>
    <row r="60" spans="4:4" x14ac:dyDescent="0.2">
      <c r="D60" s="63"/>
    </row>
    <row r="61" spans="4:4" x14ac:dyDescent="0.2">
      <c r="D61" s="63"/>
    </row>
    <row r="62" spans="4:4" x14ac:dyDescent="0.2">
      <c r="D62" s="63"/>
    </row>
    <row r="63" spans="4:4" x14ac:dyDescent="0.2">
      <c r="D63" s="63"/>
    </row>
    <row r="64" spans="4:4" x14ac:dyDescent="0.2">
      <c r="D64" s="63"/>
    </row>
    <row r="65" spans="4:4" x14ac:dyDescent="0.2">
      <c r="D65" s="63"/>
    </row>
    <row r="66" spans="4:4" x14ac:dyDescent="0.2">
      <c r="D66" s="63"/>
    </row>
    <row r="67" spans="4:4" x14ac:dyDescent="0.2">
      <c r="D67" s="63"/>
    </row>
    <row r="201" spans="5:5" x14ac:dyDescent="0.2">
      <c r="E201" s="41"/>
    </row>
    <row r="1215" spans="58:58" x14ac:dyDescent="0.2">
      <c r="BF1215" s="55"/>
    </row>
    <row r="1802" spans="138:138" x14ac:dyDescent="0.2">
      <c r="EH1802" s="55"/>
    </row>
    <row r="3672" spans="58:58" x14ac:dyDescent="0.2">
      <c r="BF3672" s="55"/>
    </row>
    <row r="4307" spans="89:89" x14ac:dyDescent="0.2">
      <c r="CK4307" s="55"/>
    </row>
    <row r="4314" spans="89:89" x14ac:dyDescent="0.2">
      <c r="CK4314" s="55"/>
    </row>
    <row r="6828" spans="46:121" x14ac:dyDescent="0.2">
      <c r="DQ6828" s="55"/>
    </row>
    <row r="6829" spans="46:121" x14ac:dyDescent="0.2">
      <c r="AT6829" s="55"/>
      <c r="BD6829" s="55"/>
      <c r="BH6829" s="55"/>
      <c r="DQ6829" s="55"/>
    </row>
    <row r="6833" spans="46:121" x14ac:dyDescent="0.2">
      <c r="BV6833" s="55"/>
    </row>
    <row r="6835" spans="46:121" x14ac:dyDescent="0.2">
      <c r="DQ6835" s="55"/>
    </row>
    <row r="6836" spans="46:121" x14ac:dyDescent="0.2">
      <c r="AT6836" s="55"/>
      <c r="BD6836" s="55"/>
      <c r="BH6836" s="55"/>
      <c r="DQ6836" s="55"/>
    </row>
    <row r="6840" spans="46:121" x14ac:dyDescent="0.2">
      <c r="BV6840" s="55"/>
    </row>
    <row r="9110" spans="138:138" x14ac:dyDescent="0.2">
      <c r="EH9110" s="55"/>
    </row>
    <row r="10210" spans="135:135" x14ac:dyDescent="0.2">
      <c r="EE10210" s="55"/>
    </row>
    <row r="10224" spans="135:135" x14ac:dyDescent="0.2">
      <c r="EE10224" s="55"/>
    </row>
    <row r="10230" spans="10:153" x14ac:dyDescent="0.2">
      <c r="J10230" s="55"/>
      <c r="K10230" s="55"/>
      <c r="AC10230" s="55"/>
      <c r="AD10230" s="55"/>
      <c r="AP10230" s="55"/>
      <c r="AV10230" s="55"/>
      <c r="AX10230" s="55"/>
      <c r="AY10230" s="55"/>
      <c r="AZ10230" s="55"/>
      <c r="BO10230" s="55"/>
      <c r="CW10230" s="55"/>
      <c r="CX10230" s="55"/>
      <c r="DB10230" s="55"/>
      <c r="DC10230" s="55"/>
      <c r="DD10230" s="55"/>
      <c r="DE10230" s="55"/>
      <c r="DF10230" s="55"/>
      <c r="DU10230" s="55"/>
      <c r="DV10230" s="55"/>
      <c r="DZ10230" s="55"/>
      <c r="EA10230" s="55"/>
      <c r="EB10230" s="55"/>
      <c r="EC10230" s="55"/>
      <c r="ED10230" s="55"/>
      <c r="EE10230" s="55"/>
      <c r="EF10230" s="55"/>
    </row>
    <row r="10231" spans="10:153" x14ac:dyDescent="0.2">
      <c r="R10231" s="55"/>
      <c r="AB10231" s="55"/>
      <c r="AR10231" s="55"/>
      <c r="AS10231" s="55"/>
      <c r="CQ10231" s="55"/>
      <c r="CV10231" s="55"/>
      <c r="EC10231" s="55"/>
      <c r="ES10231" s="55"/>
    </row>
    <row r="10233" spans="10:153" x14ac:dyDescent="0.2">
      <c r="J10233" s="55"/>
      <c r="K10233" s="55"/>
      <c r="L10233" s="55"/>
      <c r="M10233" s="55"/>
      <c r="N10233" s="55"/>
      <c r="O10233" s="55"/>
      <c r="P10233" s="55"/>
      <c r="AD10233" s="55"/>
      <c r="AH10233" s="55"/>
      <c r="AI10233" s="55"/>
      <c r="AJ10233" s="55"/>
      <c r="AK10233" s="55"/>
      <c r="AL10233" s="55"/>
      <c r="AM10233" s="55"/>
      <c r="AN10233" s="55"/>
      <c r="AO10233" s="55"/>
      <c r="AY10233" s="55"/>
      <c r="BF10233" s="55"/>
      <c r="BG10233" s="55"/>
      <c r="BH10233" s="55"/>
      <c r="BI10233" s="55"/>
      <c r="BJ10233" s="55"/>
      <c r="BK10233" s="55"/>
      <c r="BL10233" s="55"/>
      <c r="BM10233" s="55"/>
      <c r="BV10233" s="55"/>
      <c r="BY10233" s="55"/>
      <c r="BZ10233" s="55"/>
      <c r="CD10233" s="55"/>
      <c r="CE10233" s="55"/>
      <c r="CF10233" s="55"/>
      <c r="CG10233" s="55"/>
      <c r="CH10233" s="55"/>
      <c r="CI10233" s="55"/>
      <c r="CJ10233" s="55"/>
      <c r="CX10233" s="55"/>
      <c r="DB10233" s="55"/>
      <c r="DC10233" s="55"/>
      <c r="DD10233" s="55"/>
      <c r="DE10233" s="55"/>
      <c r="DF10233" s="55"/>
      <c r="DG10233" s="55"/>
      <c r="DH10233" s="55"/>
      <c r="DV10233" s="55"/>
      <c r="DW10233" s="55"/>
      <c r="DX10233" s="55"/>
      <c r="DY10233" s="55"/>
      <c r="EU10233" s="55"/>
      <c r="EV10233" s="55"/>
      <c r="EW10233" s="55"/>
    </row>
    <row r="10235" spans="10:153" x14ac:dyDescent="0.2">
      <c r="J10235" s="55"/>
      <c r="K10235" s="55"/>
      <c r="L10235" s="55"/>
      <c r="AC10235" s="55"/>
      <c r="AD10235" s="55"/>
      <c r="BN10235" s="55"/>
      <c r="BV10235" s="55"/>
      <c r="BW10235" s="55"/>
      <c r="CW10235" s="55"/>
      <c r="DB10235" s="55"/>
      <c r="DC10235" s="55"/>
      <c r="DD10235" s="55"/>
      <c r="DE10235" s="55"/>
      <c r="DM10235" s="55"/>
      <c r="DU10235" s="55"/>
      <c r="DV10235" s="55"/>
      <c r="DZ10235" s="55"/>
      <c r="EA10235" s="55"/>
      <c r="EB10235" s="55"/>
      <c r="EC10235" s="55"/>
      <c r="EE10235" s="55"/>
      <c r="EG10235" s="55"/>
      <c r="ET10235" s="55"/>
      <c r="EU10235" s="55"/>
      <c r="EV10235" s="55"/>
      <c r="EW10235" s="55"/>
    </row>
    <row r="10237" spans="10:153" x14ac:dyDescent="0.2">
      <c r="J10237" s="55"/>
      <c r="K10237" s="55"/>
      <c r="AC10237" s="55"/>
      <c r="AD10237" s="55"/>
      <c r="AP10237" s="55"/>
      <c r="AV10237" s="55"/>
      <c r="AX10237" s="55"/>
      <c r="AY10237" s="55"/>
      <c r="AZ10237" s="55"/>
      <c r="BO10237" s="55"/>
      <c r="CW10237" s="55"/>
      <c r="CX10237" s="55"/>
      <c r="DB10237" s="55"/>
      <c r="DC10237" s="55"/>
      <c r="DD10237" s="55"/>
      <c r="DE10237" s="55"/>
      <c r="DF10237" s="55"/>
      <c r="DU10237" s="55"/>
      <c r="DV10237" s="55"/>
      <c r="DZ10237" s="55"/>
      <c r="EA10237" s="55"/>
      <c r="EB10237" s="55"/>
      <c r="EC10237" s="55"/>
      <c r="ED10237" s="55"/>
      <c r="EE10237" s="55"/>
      <c r="EF10237" s="55"/>
    </row>
    <row r="10238" spans="10:153" x14ac:dyDescent="0.2">
      <c r="R10238" s="55"/>
      <c r="AB10238" s="55"/>
      <c r="AR10238" s="55"/>
      <c r="AS10238" s="55"/>
      <c r="CQ10238" s="55"/>
      <c r="CV10238" s="55"/>
      <c r="EC10238" s="55"/>
      <c r="ES10238" s="55"/>
    </row>
    <row r="10240" spans="10:153" x14ac:dyDescent="0.2">
      <c r="J10240" s="55"/>
      <c r="K10240" s="55"/>
      <c r="L10240" s="55"/>
      <c r="M10240" s="55"/>
      <c r="N10240" s="55"/>
      <c r="O10240" s="55"/>
      <c r="P10240" s="55"/>
      <c r="AD10240" s="55"/>
      <c r="AH10240" s="55"/>
      <c r="AI10240" s="55"/>
      <c r="AJ10240" s="55"/>
      <c r="AK10240" s="55"/>
      <c r="AL10240" s="55"/>
      <c r="AM10240" s="55"/>
      <c r="AN10240" s="55"/>
      <c r="AO10240" s="55"/>
      <c r="AY10240" s="55"/>
      <c r="BF10240" s="55"/>
      <c r="BG10240" s="55"/>
      <c r="BH10240" s="55"/>
      <c r="BI10240" s="55"/>
      <c r="BJ10240" s="55"/>
      <c r="BK10240" s="55"/>
      <c r="BL10240" s="55"/>
      <c r="BM10240" s="55"/>
      <c r="BV10240" s="55"/>
      <c r="BY10240" s="55"/>
      <c r="BZ10240" s="55"/>
      <c r="CD10240" s="55"/>
      <c r="CE10240" s="55"/>
      <c r="CF10240" s="55"/>
      <c r="CG10240" s="55"/>
      <c r="CH10240" s="55"/>
      <c r="CI10240" s="55"/>
      <c r="CJ10240" s="55"/>
      <c r="CX10240" s="55"/>
      <c r="DB10240" s="55"/>
      <c r="DC10240" s="55"/>
      <c r="DD10240" s="55"/>
      <c r="DE10240" s="55"/>
      <c r="DF10240" s="55"/>
      <c r="DG10240" s="55"/>
      <c r="DH10240" s="55"/>
      <c r="DV10240" s="55"/>
      <c r="DW10240" s="55"/>
      <c r="DX10240" s="55"/>
      <c r="DY10240" s="55"/>
      <c r="EU10240" s="55"/>
      <c r="EV10240" s="55"/>
      <c r="EW10240" s="55"/>
    </row>
    <row r="10242" spans="10:153" x14ac:dyDescent="0.2">
      <c r="J10242" s="55"/>
      <c r="K10242" s="55"/>
      <c r="L10242" s="55"/>
      <c r="AC10242" s="55"/>
      <c r="AD10242" s="55"/>
      <c r="BN10242" s="55"/>
      <c r="BV10242" s="55"/>
      <c r="BW10242" s="55"/>
      <c r="CW10242" s="55"/>
      <c r="DB10242" s="55"/>
      <c r="DC10242" s="55"/>
      <c r="DD10242" s="55"/>
      <c r="DE10242" s="55"/>
      <c r="DM10242" s="55"/>
      <c r="DU10242" s="55"/>
      <c r="DV10242" s="55"/>
      <c r="DZ10242" s="55"/>
      <c r="EA10242" s="55"/>
      <c r="EB10242" s="55"/>
      <c r="EC10242" s="55"/>
      <c r="EE10242" s="55"/>
      <c r="EG10242" s="55"/>
      <c r="ET10242" s="55"/>
      <c r="EU10242" s="55"/>
      <c r="EV10242" s="55"/>
      <c r="EW10242" s="55"/>
    </row>
  </sheetData>
  <phoneticPr fontId="2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15</vt:i4>
      </vt:variant>
    </vt:vector>
  </HeadingPairs>
  <TitlesOfParts>
    <vt:vector size="18" baseType="lpstr">
      <vt:lpstr>Table</vt:lpstr>
      <vt:lpstr>Lookups</vt:lpstr>
      <vt:lpstr>Data</vt:lpstr>
      <vt:lpstr>Bid</vt:lpstr>
      <vt:lpstr>Criteria</vt:lpstr>
      <vt:lpstr>data</vt:lpstr>
      <vt:lpstr>date</vt:lpstr>
      <vt:lpstr>date_list</vt:lpstr>
      <vt:lpstr>dual_enrol_list</vt:lpstr>
      <vt:lpstr>Enrolled</vt:lpstr>
      <vt:lpstr>ind_list</vt:lpstr>
      <vt:lpstr>lca</vt:lpstr>
      <vt:lpstr>lca_list</vt:lpstr>
      <vt:lpstr>Table!Print_Area</vt:lpstr>
      <vt:lpstr>Result_type</vt:lpstr>
      <vt:lpstr>Result_type_list</vt:lpstr>
      <vt:lpstr>Data!table_for_PGE_CBP_expost_private</vt:lpstr>
      <vt:lpstr>Two_way_tab_flag</vt:lpstr>
    </vt:vector>
  </TitlesOfParts>
  <Company>Christensen Associates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edmchugh</dc:creator>
  <cp:lastModifiedBy>Dan Hansen</cp:lastModifiedBy>
  <cp:lastPrinted>2009-04-03T17:07:33Z</cp:lastPrinted>
  <dcterms:created xsi:type="dcterms:W3CDTF">2009-03-24T17:58:42Z</dcterms:created>
  <dcterms:modified xsi:type="dcterms:W3CDTF">2015-03-26T16:42:41Z</dcterms:modified>
</cp:coreProperties>
</file>