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whack\Limbo\Cal Reports\BIP\BIP 2019\Final Versions\"/>
    </mc:Choice>
  </mc:AlternateContent>
  <xr:revisionPtr revIDLastSave="0" documentId="8_{43F5E558-582E-4992-B5C7-FFFFB4BF71FA}" xr6:coauthVersionLast="44" xr6:coauthVersionMax="44" xr10:uidLastSave="{00000000-0000-0000-0000-000000000000}"/>
  <bookViews>
    <workbookView xWindow="-93" yWindow="-93" windowWidth="25786" windowHeight="13986" xr2:uid="{00000000-000D-0000-FFFF-FFFF00000000}"/>
  </bookViews>
  <sheets>
    <sheet name="Table" sheetId="4" r:id="rId1"/>
    <sheet name="Lookups" sheetId="2" state="hidden" r:id="rId2"/>
    <sheet name="Data" sheetId="1" state="hidden" r:id="rId3"/>
  </sheets>
  <definedNames>
    <definedName name="_xlnm._FilterDatabase" localSheetId="2" hidden="1">Data!$A$1:$FX$73</definedName>
    <definedName name="Called">Lookups!$D$8</definedName>
    <definedName name="_xlnm.Criteria">Lookups!$B$3:$F$4</definedName>
    <definedName name="Criteria_enrolled">Lookups!$B$19:$E$20</definedName>
    <definedName name="data">Data!$A$1:$FX$73</definedName>
    <definedName name="date">Table!$B$5</definedName>
    <definedName name="date_list">Lookups!$K$4:$K$9</definedName>
    <definedName name="dual_enrol_list">Lookups!$O$4:$O$6</definedName>
    <definedName name="Enrolled">Lookups!$D$6</definedName>
    <definedName name="ind_list">Lookups!$L$4:$L$11</definedName>
    <definedName name="lca">Table!$B$6</definedName>
    <definedName name="lca_list">Lookups!$M$4:$M$12</definedName>
    <definedName name="partial">Lookups!$C$24</definedName>
    <definedName name="pass">Lookups!$C$25</definedName>
    <definedName name="_xlnm.Print_Area" localSheetId="0">Table!$A$2:$P$34</definedName>
    <definedName name="Result_type">Table!$B$4</definedName>
    <definedName name="Result_type_list">Lookups!$J$4:$J$5</definedName>
    <definedName name="Size">Table!$B$7</definedName>
    <definedName name="Size_list">Lookups!$N$4:$N$7</definedName>
    <definedName name="Two_way_tab_flag">Lookups!$D$7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2" l="1"/>
  <c r="F13" i="2" l="1"/>
  <c r="F12" i="2"/>
  <c r="C24" i="2" l="1"/>
  <c r="D13" i="4" s="1"/>
  <c r="D10" i="4" l="1"/>
  <c r="D8" i="4"/>
  <c r="F16" i="2" l="1"/>
  <c r="B20" i="2" l="1"/>
  <c r="D7" i="2" l="1"/>
  <c r="D6" i="2" l="1"/>
  <c r="E20" i="2"/>
  <c r="D20" i="2"/>
  <c r="D4" i="2" l="1"/>
  <c r="J31" i="4" l="1"/>
  <c r="I31" i="4"/>
  <c r="I4" i="4"/>
  <c r="C31" i="2" l="1"/>
  <c r="E7" i="4" l="1"/>
  <c r="F14" i="2"/>
  <c r="F11" i="2"/>
  <c r="H31" i="4"/>
  <c r="E4" i="4" l="1"/>
  <c r="G31" i="2"/>
  <c r="A32" i="2"/>
  <c r="C32" i="2" s="1"/>
  <c r="E4" i="2"/>
  <c r="C25" i="2" s="1"/>
  <c r="B4" i="2"/>
  <c r="L31" i="4"/>
  <c r="L5" i="4"/>
  <c r="J4" i="4"/>
  <c r="H4" i="4"/>
  <c r="B59" i="2" l="1"/>
  <c r="B64" i="2"/>
  <c r="A2" i="4"/>
  <c r="D8" i="2"/>
  <c r="H7" i="4" s="1"/>
  <c r="E6" i="4"/>
  <c r="E8" i="4"/>
  <c r="M32" i="2"/>
  <c r="G32" i="2"/>
  <c r="M31" i="2"/>
  <c r="L32" i="2"/>
  <c r="E32" i="2"/>
  <c r="H32" i="2"/>
  <c r="I32" i="2"/>
  <c r="J32" i="2"/>
  <c r="F32" i="2"/>
  <c r="D32" i="2"/>
  <c r="K32" i="2"/>
  <c r="L31" i="2"/>
  <c r="D31" i="2"/>
  <c r="E31" i="2"/>
  <c r="H31" i="2"/>
  <c r="I31" i="2"/>
  <c r="J31" i="2"/>
  <c r="F31" i="2"/>
  <c r="K31" i="2"/>
  <c r="A33" i="2"/>
  <c r="C33" i="2" s="1"/>
  <c r="K7" i="4" l="1"/>
  <c r="B63" i="2"/>
  <c r="B65" i="2"/>
  <c r="B60" i="2"/>
  <c r="B58" i="2"/>
  <c r="P30" i="4"/>
  <c r="M29" i="4"/>
  <c r="J28" i="4"/>
  <c r="P26" i="4"/>
  <c r="M25" i="4"/>
  <c r="J24" i="4"/>
  <c r="N24" i="4" s="1"/>
  <c r="P22" i="4"/>
  <c r="M21" i="4"/>
  <c r="J20" i="4"/>
  <c r="N20" i="4" s="1"/>
  <c r="P18" i="4"/>
  <c r="M17" i="4"/>
  <c r="J16" i="4"/>
  <c r="N16" i="4" s="1"/>
  <c r="P14" i="4"/>
  <c r="M13" i="4"/>
  <c r="J12" i="4"/>
  <c r="N12" i="4" s="1"/>
  <c r="P10" i="4"/>
  <c r="M9" i="4"/>
  <c r="J8" i="4"/>
  <c r="N8" i="4" s="1"/>
  <c r="J30" i="4"/>
  <c r="N30" i="4" s="1"/>
  <c r="P28" i="4"/>
  <c r="M27" i="4"/>
  <c r="J26" i="4"/>
  <c r="N26" i="4" s="1"/>
  <c r="P24" i="4"/>
  <c r="M23" i="4"/>
  <c r="J22" i="4"/>
  <c r="N22" i="4" s="1"/>
  <c r="P20" i="4"/>
  <c r="M19" i="4"/>
  <c r="J18" i="4"/>
  <c r="N18" i="4" s="1"/>
  <c r="P16" i="4"/>
  <c r="M15" i="4"/>
  <c r="J14" i="4"/>
  <c r="P12" i="4"/>
  <c r="M11" i="4"/>
  <c r="J10" i="4"/>
  <c r="N10" i="4" s="1"/>
  <c r="P8" i="4"/>
  <c r="M7" i="4"/>
  <c r="M28" i="4"/>
  <c r="J27" i="4"/>
  <c r="N27" i="4" s="1"/>
  <c r="M24" i="4"/>
  <c r="P21" i="4"/>
  <c r="J19" i="4"/>
  <c r="J15" i="4"/>
  <c r="N15" i="4" s="1"/>
  <c r="P13" i="4"/>
  <c r="P9" i="4"/>
  <c r="J7" i="4"/>
  <c r="O29" i="4"/>
  <c r="H27" i="4"/>
  <c r="O25" i="4"/>
  <c r="H23" i="4"/>
  <c r="O21" i="4"/>
  <c r="H19" i="4"/>
  <c r="L16" i="4"/>
  <c r="O13" i="4"/>
  <c r="H11" i="4"/>
  <c r="L8" i="4"/>
  <c r="O30" i="4"/>
  <c r="O26" i="4"/>
  <c r="H24" i="4"/>
  <c r="H20" i="4"/>
  <c r="L17" i="4"/>
  <c r="H16" i="4"/>
  <c r="L13" i="4"/>
  <c r="H12" i="4"/>
  <c r="L9" i="4"/>
  <c r="J29" i="4"/>
  <c r="N29" i="4" s="1"/>
  <c r="M26" i="4"/>
  <c r="P23" i="4"/>
  <c r="J21" i="4"/>
  <c r="N21" i="4" s="1"/>
  <c r="M18" i="4"/>
  <c r="M14" i="4"/>
  <c r="J13" i="4"/>
  <c r="N13" i="4" s="1"/>
  <c r="J9" i="4"/>
  <c r="N9" i="4" s="1"/>
  <c r="L30" i="4"/>
  <c r="O27" i="4"/>
  <c r="H25" i="4"/>
  <c r="L22" i="4"/>
  <c r="O19" i="4"/>
  <c r="H17" i="4"/>
  <c r="L14" i="4"/>
  <c r="L10" i="4"/>
  <c r="H30" i="4"/>
  <c r="O28" i="4"/>
  <c r="L27" i="4"/>
  <c r="H26" i="4"/>
  <c r="O24" i="4"/>
  <c r="L23" i="4"/>
  <c r="H22" i="4"/>
  <c r="O20" i="4"/>
  <c r="L19" i="4"/>
  <c r="H18" i="4"/>
  <c r="O16" i="4"/>
  <c r="L15" i="4"/>
  <c r="H14" i="4"/>
  <c r="O12" i="4"/>
  <c r="L11" i="4"/>
  <c r="H10" i="4"/>
  <c r="O8" i="4"/>
  <c r="L7" i="4"/>
  <c r="P29" i="4"/>
  <c r="P25" i="4"/>
  <c r="J23" i="4"/>
  <c r="M20" i="4"/>
  <c r="P17" i="4"/>
  <c r="M16" i="4"/>
  <c r="M12" i="4"/>
  <c r="J11" i="4"/>
  <c r="M8" i="4"/>
  <c r="L28" i="4"/>
  <c r="L24" i="4"/>
  <c r="L20" i="4"/>
  <c r="O17" i="4"/>
  <c r="H15" i="4"/>
  <c r="L12" i="4"/>
  <c r="O9" i="4"/>
  <c r="L29" i="4"/>
  <c r="H28" i="4"/>
  <c r="L25" i="4"/>
  <c r="O22" i="4"/>
  <c r="L21" i="4"/>
  <c r="O18" i="4"/>
  <c r="O14" i="4"/>
  <c r="O10" i="4"/>
  <c r="H8" i="4"/>
  <c r="M30" i="4"/>
  <c r="P27" i="4"/>
  <c r="J25" i="4"/>
  <c r="N25" i="4" s="1"/>
  <c r="M22" i="4"/>
  <c r="P19" i="4"/>
  <c r="J17" i="4"/>
  <c r="N17" i="4" s="1"/>
  <c r="P15" i="4"/>
  <c r="P11" i="4"/>
  <c r="M10" i="4"/>
  <c r="P7" i="4"/>
  <c r="H29" i="4"/>
  <c r="L26" i="4"/>
  <c r="O23" i="4"/>
  <c r="H21" i="4"/>
  <c r="L18" i="4"/>
  <c r="O15" i="4"/>
  <c r="H13" i="4"/>
  <c r="O11" i="4"/>
  <c r="H9" i="4"/>
  <c r="O7" i="4"/>
  <c r="K30" i="4"/>
  <c r="B54" i="2" s="1"/>
  <c r="K26" i="4"/>
  <c r="B50" i="2" s="1"/>
  <c r="K22" i="4"/>
  <c r="B46" i="2" s="1"/>
  <c r="K18" i="4"/>
  <c r="B42" i="2" s="1"/>
  <c r="K14" i="4"/>
  <c r="B38" i="2" s="1"/>
  <c r="K10" i="4"/>
  <c r="B34" i="2" s="1"/>
  <c r="K27" i="4"/>
  <c r="B51" i="2" s="1"/>
  <c r="K23" i="4"/>
  <c r="B47" i="2" s="1"/>
  <c r="K19" i="4"/>
  <c r="B43" i="2" s="1"/>
  <c r="K15" i="4"/>
  <c r="B39" i="2" s="1"/>
  <c r="K11" i="4"/>
  <c r="B35" i="2" s="1"/>
  <c r="K29" i="4"/>
  <c r="B53" i="2" s="1"/>
  <c r="K25" i="4"/>
  <c r="B49" i="2" s="1"/>
  <c r="K21" i="4"/>
  <c r="B45" i="2" s="1"/>
  <c r="K17" i="4"/>
  <c r="B41" i="2" s="1"/>
  <c r="K13" i="4"/>
  <c r="B37" i="2" s="1"/>
  <c r="K9" i="4"/>
  <c r="B33" i="2" s="1"/>
  <c r="K28" i="4"/>
  <c r="B52" i="2" s="1"/>
  <c r="K24" i="4"/>
  <c r="B48" i="2" s="1"/>
  <c r="K20" i="4"/>
  <c r="B44" i="2" s="1"/>
  <c r="K16" i="4"/>
  <c r="B40" i="2" s="1"/>
  <c r="K12" i="4"/>
  <c r="B36" i="2" s="1"/>
  <c r="K8" i="4"/>
  <c r="B32" i="2" s="1"/>
  <c r="A34" i="2"/>
  <c r="C34" i="2" s="1"/>
  <c r="E5" i="4" l="1"/>
  <c r="B31" i="2"/>
  <c r="K33" i="4" s="1"/>
  <c r="I30" i="4"/>
  <c r="I22" i="4"/>
  <c r="I10" i="4"/>
  <c r="I21" i="4"/>
  <c r="I7" i="4"/>
  <c r="I14" i="4"/>
  <c r="I17" i="4"/>
  <c r="I9" i="4"/>
  <c r="N14" i="4"/>
  <c r="I26" i="4"/>
  <c r="I16" i="4"/>
  <c r="I28" i="4"/>
  <c r="I23" i="4"/>
  <c r="I25" i="4"/>
  <c r="I20" i="4"/>
  <c r="I13" i="4"/>
  <c r="I24" i="4"/>
  <c r="I29" i="4"/>
  <c r="I15" i="4"/>
  <c r="I11" i="4"/>
  <c r="I8" i="4"/>
  <c r="N28" i="4"/>
  <c r="I27" i="4"/>
  <c r="I19" i="4"/>
  <c r="I12" i="4"/>
  <c r="N19" i="4"/>
  <c r="H33" i="4"/>
  <c r="J33" i="4"/>
  <c r="I18" i="4"/>
  <c r="N11" i="4"/>
  <c r="N23" i="4"/>
  <c r="N7" i="4"/>
  <c r="G33" i="2"/>
  <c r="M33" i="2"/>
  <c r="L33" i="2"/>
  <c r="E33" i="2"/>
  <c r="H33" i="2"/>
  <c r="I33" i="2"/>
  <c r="J33" i="2"/>
  <c r="K33" i="2"/>
  <c r="F33" i="2"/>
  <c r="D33" i="2"/>
  <c r="A35" i="2"/>
  <c r="C35" i="2" s="1"/>
  <c r="D63" i="2" l="1"/>
  <c r="M33" i="4" s="1"/>
  <c r="C63" i="2"/>
  <c r="L33" i="4" s="1"/>
  <c r="G63" i="2"/>
  <c r="P33" i="4" s="1"/>
  <c r="F63" i="2"/>
  <c r="O33" i="4" s="1"/>
  <c r="E63" i="2"/>
  <c r="N33" i="4" s="1"/>
  <c r="I33" i="4"/>
  <c r="M34" i="2"/>
  <c r="G34" i="2"/>
  <c r="L34" i="2"/>
  <c r="E34" i="2"/>
  <c r="H34" i="2"/>
  <c r="I34" i="2"/>
  <c r="J34" i="2"/>
  <c r="F34" i="2"/>
  <c r="D34" i="2"/>
  <c r="K34" i="2"/>
  <c r="A36" i="2"/>
  <c r="C36" i="2" s="1"/>
  <c r="M35" i="2" l="1"/>
  <c r="G35" i="2"/>
  <c r="L35" i="2"/>
  <c r="E35" i="2"/>
  <c r="H35" i="2"/>
  <c r="D35" i="2"/>
  <c r="I35" i="2"/>
  <c r="J35" i="2"/>
  <c r="K35" i="2"/>
  <c r="F35" i="2"/>
  <c r="A37" i="2"/>
  <c r="C37" i="2" s="1"/>
  <c r="M36" i="2" l="1"/>
  <c r="G36" i="2"/>
  <c r="L36" i="2"/>
  <c r="E36" i="2"/>
  <c r="H36" i="2"/>
  <c r="I36" i="2"/>
  <c r="D36" i="2"/>
  <c r="J36" i="2"/>
  <c r="K36" i="2"/>
  <c r="F36" i="2"/>
  <c r="A38" i="2"/>
  <c r="C38" i="2" s="1"/>
  <c r="M37" i="2" l="1"/>
  <c r="G37" i="2"/>
  <c r="L37" i="2"/>
  <c r="E37" i="2"/>
  <c r="H37" i="2"/>
  <c r="I37" i="2"/>
  <c r="J37" i="2"/>
  <c r="D37" i="2"/>
  <c r="F37" i="2"/>
  <c r="K37" i="2"/>
  <c r="A39" i="2"/>
  <c r="C39" i="2" s="1"/>
  <c r="M38" i="2" l="1"/>
  <c r="G38" i="2"/>
  <c r="L38" i="2"/>
  <c r="H38" i="2"/>
  <c r="I38" i="2"/>
  <c r="J38" i="2"/>
  <c r="K38" i="2"/>
  <c r="E38" i="2"/>
  <c r="D38" i="2"/>
  <c r="F38" i="2"/>
  <c r="A40" i="2"/>
  <c r="C40" i="2" s="1"/>
  <c r="M39" i="2" l="1"/>
  <c r="G39" i="2"/>
  <c r="L39" i="2"/>
  <c r="D39" i="2"/>
  <c r="H39" i="2"/>
  <c r="I39" i="2"/>
  <c r="J39" i="2"/>
  <c r="E39" i="2"/>
  <c r="F39" i="2"/>
  <c r="K39" i="2"/>
  <c r="A41" i="2"/>
  <c r="C41" i="2" s="1"/>
  <c r="M40" i="2" l="1"/>
  <c r="G40" i="2"/>
  <c r="L40" i="2"/>
  <c r="H40" i="2"/>
  <c r="I40" i="2"/>
  <c r="J40" i="2"/>
  <c r="K40" i="2"/>
  <c r="D40" i="2"/>
  <c r="E40" i="2"/>
  <c r="F40" i="2"/>
  <c r="A42" i="2"/>
  <c r="C42" i="2" s="1"/>
  <c r="G41" i="2" l="1"/>
  <c r="M41" i="2"/>
  <c r="L41" i="2"/>
  <c r="H41" i="2"/>
  <c r="I41" i="2"/>
  <c r="J41" i="2"/>
  <c r="E41" i="2"/>
  <c r="D41" i="2"/>
  <c r="F41" i="2"/>
  <c r="K41" i="2"/>
  <c r="A43" i="2"/>
  <c r="C43" i="2" s="1"/>
  <c r="M42" i="2" l="1"/>
  <c r="G42" i="2"/>
  <c r="L42" i="2"/>
  <c r="H42" i="2"/>
  <c r="I42" i="2"/>
  <c r="J42" i="2"/>
  <c r="K42" i="2"/>
  <c r="D42" i="2"/>
  <c r="E42" i="2"/>
  <c r="F42" i="2"/>
  <c r="A44" i="2"/>
  <c r="C44" i="2" s="1"/>
  <c r="M43" i="2" l="1"/>
  <c r="G43" i="2"/>
  <c r="L43" i="2"/>
  <c r="H43" i="2"/>
  <c r="D43" i="2"/>
  <c r="I43" i="2"/>
  <c r="J43" i="2"/>
  <c r="E43" i="2"/>
  <c r="F43" i="2"/>
  <c r="K43" i="2"/>
  <c r="A45" i="2"/>
  <c r="C45" i="2" s="1"/>
  <c r="M44" i="2" l="1"/>
  <c r="G44" i="2"/>
  <c r="L44" i="2"/>
  <c r="H44" i="2"/>
  <c r="I44" i="2"/>
  <c r="D44" i="2"/>
  <c r="J44" i="2"/>
  <c r="K44" i="2"/>
  <c r="E44" i="2"/>
  <c r="F44" i="2"/>
  <c r="A46" i="2"/>
  <c r="C46" i="2" s="1"/>
  <c r="M45" i="2" l="1"/>
  <c r="G45" i="2"/>
  <c r="L45" i="2"/>
  <c r="H45" i="2"/>
  <c r="I45" i="2"/>
  <c r="J45" i="2"/>
  <c r="E45" i="2"/>
  <c r="F45" i="2"/>
  <c r="D45" i="2"/>
  <c r="K45" i="2"/>
  <c r="A47" i="2"/>
  <c r="C47" i="2" s="1"/>
  <c r="M46" i="2" l="1"/>
  <c r="G46" i="2"/>
  <c r="L46" i="2"/>
  <c r="H46" i="2"/>
  <c r="I46" i="2"/>
  <c r="J46" i="2"/>
  <c r="K46" i="2"/>
  <c r="D46" i="2"/>
  <c r="E46" i="2"/>
  <c r="F46" i="2"/>
  <c r="A48" i="2"/>
  <c r="C48" i="2" s="1"/>
  <c r="M47" i="2" l="1"/>
  <c r="G47" i="2"/>
  <c r="L47" i="2"/>
  <c r="D47" i="2"/>
  <c r="H47" i="2"/>
  <c r="I47" i="2"/>
  <c r="J47" i="2"/>
  <c r="E47" i="2"/>
  <c r="F47" i="2"/>
  <c r="K47" i="2"/>
  <c r="A49" i="2"/>
  <c r="C49" i="2" s="1"/>
  <c r="M48" i="2" l="1"/>
  <c r="G48" i="2"/>
  <c r="L48" i="2"/>
  <c r="H48" i="2"/>
  <c r="I48" i="2"/>
  <c r="J48" i="2"/>
  <c r="K48" i="2"/>
  <c r="E48" i="2"/>
  <c r="F48" i="2"/>
  <c r="D48" i="2"/>
  <c r="A50" i="2"/>
  <c r="C50" i="2" s="1"/>
  <c r="G49" i="2" l="1"/>
  <c r="M49" i="2"/>
  <c r="L49" i="2"/>
  <c r="H49" i="2"/>
  <c r="I49" i="2"/>
  <c r="J49" i="2"/>
  <c r="E49" i="2"/>
  <c r="F49" i="2"/>
  <c r="K49" i="2"/>
  <c r="D49" i="2"/>
  <c r="A51" i="2"/>
  <c r="C51" i="2" s="1"/>
  <c r="M50" i="2" l="1"/>
  <c r="G50" i="2"/>
  <c r="L50" i="2"/>
  <c r="H50" i="2"/>
  <c r="I50" i="2"/>
  <c r="J50" i="2"/>
  <c r="K50" i="2"/>
  <c r="E50" i="2"/>
  <c r="F50" i="2"/>
  <c r="D50" i="2"/>
  <c r="A52" i="2"/>
  <c r="C52" i="2" s="1"/>
  <c r="M51" i="2" l="1"/>
  <c r="G51" i="2"/>
  <c r="L51" i="2"/>
  <c r="H51" i="2"/>
  <c r="D51" i="2"/>
  <c r="I51" i="2"/>
  <c r="J51" i="2"/>
  <c r="E51" i="2"/>
  <c r="F51" i="2"/>
  <c r="K51" i="2"/>
  <c r="A53" i="2"/>
  <c r="C53" i="2" s="1"/>
  <c r="M52" i="2" l="1"/>
  <c r="G52" i="2"/>
  <c r="L52" i="2"/>
  <c r="H52" i="2"/>
  <c r="I52" i="2"/>
  <c r="D52" i="2"/>
  <c r="J52" i="2"/>
  <c r="K52" i="2"/>
  <c r="E52" i="2"/>
  <c r="F52" i="2"/>
  <c r="A54" i="2"/>
  <c r="C54" i="2" s="1"/>
  <c r="M53" i="2" l="1"/>
  <c r="G53" i="2"/>
  <c r="M54" i="2"/>
  <c r="G54" i="2"/>
  <c r="L53" i="2"/>
  <c r="H53" i="2"/>
  <c r="I53" i="2"/>
  <c r="D53" i="2"/>
  <c r="E53" i="2"/>
  <c r="F53" i="2"/>
  <c r="J53" i="2"/>
  <c r="K53" i="2"/>
  <c r="L54" i="2"/>
  <c r="H54" i="2"/>
  <c r="I54" i="2"/>
  <c r="J54" i="2"/>
  <c r="D54" i="2"/>
  <c r="K54" i="2"/>
  <c r="E54" i="2"/>
  <c r="F54" i="2"/>
  <c r="L55" i="2" l="1"/>
  <c r="I55" i="2"/>
  <c r="H55" i="2"/>
  <c r="K55" i="2"/>
  <c r="J55" i="2"/>
  <c r="G55" i="2"/>
  <c r="K34" i="4" s="1"/>
  <c r="F55" i="2"/>
  <c r="E10" i="4" s="1"/>
  <c r="E55" i="2"/>
  <c r="I34" i="4" s="1"/>
  <c r="D55" i="2"/>
  <c r="E9" i="4" s="1"/>
  <c r="M55" i="2"/>
  <c r="E11" i="4" l="1"/>
  <c r="E12" i="4"/>
  <c r="J34" i="4"/>
  <c r="G58" i="2"/>
  <c r="P34" i="4" s="1"/>
  <c r="F58" i="2"/>
  <c r="O34" i="4" s="1"/>
  <c r="E58" i="2"/>
  <c r="N34" i="4" s="1"/>
  <c r="D58" i="2"/>
  <c r="M34" i="4" s="1"/>
  <c r="C58" i="2"/>
  <c r="L34" i="4" s="1"/>
  <c r="H34" i="4"/>
</calcChain>
</file>

<file path=xl/sharedStrings.xml><?xml version="1.0" encoding="utf-8"?>
<sst xmlns="http://schemas.openxmlformats.org/spreadsheetml/2006/main" count="588" uniqueCount="266">
  <si>
    <t>LCA</t>
  </si>
  <si>
    <t>All</t>
  </si>
  <si>
    <t>Typical Event Day</t>
  </si>
  <si>
    <t>Aggregate Impact</t>
  </si>
  <si>
    <t>Hour Ending</t>
  </si>
  <si>
    <t>10th%ile</t>
  </si>
  <si>
    <t>30th%ile</t>
  </si>
  <si>
    <t>50th%ile</t>
  </si>
  <si>
    <t>70th%ile</t>
  </si>
  <si>
    <t>90th%ile</t>
  </si>
  <si>
    <t>10th</t>
  </si>
  <si>
    <t>30th</t>
  </si>
  <si>
    <t>50th</t>
  </si>
  <si>
    <t>70th</t>
  </si>
  <si>
    <t>90th</t>
  </si>
  <si>
    <t>Daily</t>
  </si>
  <si>
    <t>Local Capacity Area:</t>
  </si>
  <si>
    <t>Type of Results:</t>
  </si>
  <si>
    <t>Day Type:</t>
  </si>
  <si>
    <t>PCTILE10_hr1</t>
  </si>
  <si>
    <t>PCTILE10_hr2</t>
  </si>
  <si>
    <t>PCTILE10_hr3</t>
  </si>
  <si>
    <t>PCTILE10_hr4</t>
  </si>
  <si>
    <t>PCTILE10_hr5</t>
  </si>
  <si>
    <t>PCTILE10_hr6</t>
  </si>
  <si>
    <t>PCTILE10_hr7</t>
  </si>
  <si>
    <t>PCTILE10_hr8</t>
  </si>
  <si>
    <t>PCTILE10_hr9</t>
  </si>
  <si>
    <t>PCTILE10_hr10</t>
  </si>
  <si>
    <t>PCTILE10_hr11</t>
  </si>
  <si>
    <t>PCTILE10_hr12</t>
  </si>
  <si>
    <t>PCTILE10_hr13</t>
  </si>
  <si>
    <t>PCTILE10_hr14</t>
  </si>
  <si>
    <t>PCTILE10_hr15</t>
  </si>
  <si>
    <t>PCTILE10_hr16</t>
  </si>
  <si>
    <t>PCTILE10_hr17</t>
  </si>
  <si>
    <t>PCTILE10_hr18</t>
  </si>
  <si>
    <t>PCTILE10_hr19</t>
  </si>
  <si>
    <t>PCTILE10_hr20</t>
  </si>
  <si>
    <t>PCTILE10_hr21</t>
  </si>
  <si>
    <t>PCTILE10_hr22</t>
  </si>
  <si>
    <t>PCTILE10_hr23</t>
  </si>
  <si>
    <t>PCTILE10_hr24</t>
  </si>
  <si>
    <t>PCTILE30_hr1</t>
  </si>
  <si>
    <t>PCTILE30_hr2</t>
  </si>
  <si>
    <t>PCTILE30_hr3</t>
  </si>
  <si>
    <t>PCTILE30_hr4</t>
  </si>
  <si>
    <t>PCTILE30_hr5</t>
  </si>
  <si>
    <t>PCTILE30_hr6</t>
  </si>
  <si>
    <t>PCTILE30_hr7</t>
  </si>
  <si>
    <t>PCTILE30_hr8</t>
  </si>
  <si>
    <t>PCTILE30_hr9</t>
  </si>
  <si>
    <t>PCTILE30_hr10</t>
  </si>
  <si>
    <t>PCTILE30_hr11</t>
  </si>
  <si>
    <t>PCTILE30_hr12</t>
  </si>
  <si>
    <t>PCTILE30_hr13</t>
  </si>
  <si>
    <t>PCTILE30_hr14</t>
  </si>
  <si>
    <t>PCTILE30_hr15</t>
  </si>
  <si>
    <t>PCTILE30_hr16</t>
  </si>
  <si>
    <t>PCTILE30_hr17</t>
  </si>
  <si>
    <t>PCTILE30_hr18</t>
  </si>
  <si>
    <t>PCTILE30_hr19</t>
  </si>
  <si>
    <t>PCTILE30_hr20</t>
  </si>
  <si>
    <t>PCTILE30_hr21</t>
  </si>
  <si>
    <t>PCTILE30_hr22</t>
  </si>
  <si>
    <t>PCTILE30_hr23</t>
  </si>
  <si>
    <t>PCTILE30_hr24</t>
  </si>
  <si>
    <t>PCTILE50_hr1</t>
  </si>
  <si>
    <t>PCTILE50_hr2</t>
  </si>
  <si>
    <t>PCTILE50_hr3</t>
  </si>
  <si>
    <t>PCTILE50_hr4</t>
  </si>
  <si>
    <t>PCTILE50_hr5</t>
  </si>
  <si>
    <t>PCTILE50_hr6</t>
  </si>
  <si>
    <t>PCTILE50_hr7</t>
  </si>
  <si>
    <t>PCTILE50_hr8</t>
  </si>
  <si>
    <t>PCTILE50_hr9</t>
  </si>
  <si>
    <t>PCTILE50_hr10</t>
  </si>
  <si>
    <t>PCTILE50_hr11</t>
  </si>
  <si>
    <t>PCTILE50_hr12</t>
  </si>
  <si>
    <t>PCTILE50_hr13</t>
  </si>
  <si>
    <t>PCTILE50_hr14</t>
  </si>
  <si>
    <t>PCTILE50_hr15</t>
  </si>
  <si>
    <t>PCTILE50_hr16</t>
  </si>
  <si>
    <t>PCTILE50_hr17</t>
  </si>
  <si>
    <t>PCTILE50_hr18</t>
  </si>
  <si>
    <t>PCTILE50_hr19</t>
  </si>
  <si>
    <t>PCTILE50_hr20</t>
  </si>
  <si>
    <t>PCTILE50_hr21</t>
  </si>
  <si>
    <t>PCTILE50_hr22</t>
  </si>
  <si>
    <t>PCTILE50_hr23</t>
  </si>
  <si>
    <t>PCTILE50_hr24</t>
  </si>
  <si>
    <t>PCTILE70_hr1</t>
  </si>
  <si>
    <t>PCTILE70_hr2</t>
  </si>
  <si>
    <t>PCTILE70_hr3</t>
  </si>
  <si>
    <t>PCTILE70_hr4</t>
  </si>
  <si>
    <t>PCTILE70_hr5</t>
  </si>
  <si>
    <t>PCTILE70_hr6</t>
  </si>
  <si>
    <t>PCTILE70_hr7</t>
  </si>
  <si>
    <t>PCTILE70_hr8</t>
  </si>
  <si>
    <t>PCTILE70_hr9</t>
  </si>
  <si>
    <t>PCTILE70_hr10</t>
  </si>
  <si>
    <t>PCTILE70_hr11</t>
  </si>
  <si>
    <t>PCTILE70_hr12</t>
  </si>
  <si>
    <t>PCTILE70_hr13</t>
  </si>
  <si>
    <t>PCTILE70_hr14</t>
  </si>
  <si>
    <t>PCTILE70_hr15</t>
  </si>
  <si>
    <t>PCTILE70_hr16</t>
  </si>
  <si>
    <t>PCTILE70_hr17</t>
  </si>
  <si>
    <t>PCTILE70_hr18</t>
  </si>
  <si>
    <t>PCTILE70_hr19</t>
  </si>
  <si>
    <t>PCTILE70_hr20</t>
  </si>
  <si>
    <t>PCTILE70_hr21</t>
  </si>
  <si>
    <t>PCTILE70_hr22</t>
  </si>
  <si>
    <t>PCTILE70_hr23</t>
  </si>
  <si>
    <t>PCTILE70_hr24</t>
  </si>
  <si>
    <t>PCTILE90_hr1</t>
  </si>
  <si>
    <t>PCTILE90_hr2</t>
  </si>
  <si>
    <t>PCTILE90_hr3</t>
  </si>
  <si>
    <t>PCTILE90_hr4</t>
  </si>
  <si>
    <t>PCTILE90_hr5</t>
  </si>
  <si>
    <t>PCTILE90_hr6</t>
  </si>
  <si>
    <t>PCTILE90_hr7</t>
  </si>
  <si>
    <t>PCTILE90_hr8</t>
  </si>
  <si>
    <t>PCTILE90_hr9</t>
  </si>
  <si>
    <t>PCTILE90_hr10</t>
  </si>
  <si>
    <t>PCTILE90_hr11</t>
  </si>
  <si>
    <t>PCTILE90_hr12</t>
  </si>
  <si>
    <t>PCTILE90_hr13</t>
  </si>
  <si>
    <t>PCTILE90_hr14</t>
  </si>
  <si>
    <t>PCTILE90_hr15</t>
  </si>
  <si>
    <t>PCTILE90_hr16</t>
  </si>
  <si>
    <t>PCTILE90_hr17</t>
  </si>
  <si>
    <t>PCTILE90_hr18</t>
  </si>
  <si>
    <t>PCTILE90_hr19</t>
  </si>
  <si>
    <t>PCTILE90_hr20</t>
  </si>
  <si>
    <t>PCTILE90_hr21</t>
  </si>
  <si>
    <t>PCTILE90_hr22</t>
  </si>
  <si>
    <t>PCTILE90_hr23</t>
  </si>
  <si>
    <t>PCTILE90_hr24</t>
  </si>
  <si>
    <t>temp_hr1</t>
  </si>
  <si>
    <t>temp_hr2</t>
  </si>
  <si>
    <t>temp_hr3</t>
  </si>
  <si>
    <t>temp_hr4</t>
  </si>
  <si>
    <t>temp_hr5</t>
  </si>
  <si>
    <t>temp_hr6</t>
  </si>
  <si>
    <t>temp_hr7</t>
  </si>
  <si>
    <t>temp_hr8</t>
  </si>
  <si>
    <t>temp_hr9</t>
  </si>
  <si>
    <t>temp_hr10</t>
  </si>
  <si>
    <t>temp_hr11</t>
  </si>
  <si>
    <t>temp_hr12</t>
  </si>
  <si>
    <t>temp_hr13</t>
  </si>
  <si>
    <t>temp_hr14</t>
  </si>
  <si>
    <t>temp_hr15</t>
  </si>
  <si>
    <t>temp_hr16</t>
  </si>
  <si>
    <t>temp_hr17</t>
  </si>
  <si>
    <t>temp_hr18</t>
  </si>
  <si>
    <t>temp_hr19</t>
  </si>
  <si>
    <t>temp_hr20</t>
  </si>
  <si>
    <t>temp_hr21</t>
  </si>
  <si>
    <t>temp_hr22</t>
  </si>
  <si>
    <t>temp_hr23</t>
  </si>
  <si>
    <t>temp_hr24</t>
  </si>
  <si>
    <r>
      <t>Weighted Average Temperature (</t>
    </r>
    <r>
      <rPr>
        <b/>
        <vertAlign val="superscript"/>
        <sz val="11"/>
        <color indexed="9"/>
        <rFont val="Arial Narrow"/>
        <family val="2"/>
      </rPr>
      <t>o</t>
    </r>
    <r>
      <rPr>
        <b/>
        <sz val="11"/>
        <color indexed="9"/>
        <rFont val="Arial Narrow"/>
        <family val="2"/>
      </rPr>
      <t>F)</t>
    </r>
  </si>
  <si>
    <t>Ref_hr1</t>
  </si>
  <si>
    <t>Ref_hr2</t>
  </si>
  <si>
    <t>Ref_hr3</t>
  </si>
  <si>
    <t>Ref_hr4</t>
  </si>
  <si>
    <t>Ref_hr5</t>
  </si>
  <si>
    <t>Ref_hr6</t>
  </si>
  <si>
    <t>Ref_hr7</t>
  </si>
  <si>
    <t>Ref_hr8</t>
  </si>
  <si>
    <t>Ref_hr9</t>
  </si>
  <si>
    <t>Ref_hr10</t>
  </si>
  <si>
    <t>Ref_hr11</t>
  </si>
  <si>
    <t>Ref_hr12</t>
  </si>
  <si>
    <t>Ref_hr13</t>
  </si>
  <si>
    <t>Ref_hr14</t>
  </si>
  <si>
    <t>Ref_hr15</t>
  </si>
  <si>
    <t>Ref_hr16</t>
  </si>
  <si>
    <t>Ref_hr17</t>
  </si>
  <si>
    <t>Ref_hr18</t>
  </si>
  <si>
    <t>Ref_hr19</t>
  </si>
  <si>
    <t>Ref_hr20</t>
  </si>
  <si>
    <t>Ref_hr21</t>
  </si>
  <si>
    <t>Ref_hr22</t>
  </si>
  <si>
    <t>Ref_hr23</t>
  </si>
  <si>
    <t>Ref_hr24</t>
  </si>
  <si>
    <t>Greater Bay Area</t>
  </si>
  <si>
    <t>Greater Fresno</t>
  </si>
  <si>
    <t>Humboldt</t>
  </si>
  <si>
    <t>Kern</t>
  </si>
  <si>
    <t>Northern Coast</t>
  </si>
  <si>
    <t>Other</t>
  </si>
  <si>
    <t>Sierra</t>
  </si>
  <si>
    <t>Stockton</t>
  </si>
  <si>
    <t>Size Group:</t>
  </si>
  <si>
    <t>Size Group</t>
  </si>
  <si>
    <t>20 to 199.99 kW</t>
  </si>
  <si>
    <t>200 kW and above</t>
  </si>
  <si>
    <r>
      <t>Cooling
Degree
Hours
(Base 75</t>
    </r>
    <r>
      <rPr>
        <b/>
        <vertAlign val="superscript"/>
        <sz val="11"/>
        <color indexed="9"/>
        <rFont val="Arial Narrow"/>
        <family val="2"/>
      </rPr>
      <t xml:space="preserve">o </t>
    </r>
    <r>
      <rPr>
        <b/>
        <sz val="11"/>
        <color indexed="9"/>
        <rFont val="Arial Narrow"/>
        <family val="2"/>
      </rPr>
      <t>F)</t>
    </r>
  </si>
  <si>
    <t>cdh calcs</t>
  </si>
  <si>
    <t>Agriculture, Mining &amp; Construction</t>
  </si>
  <si>
    <t>Institutional/Government</t>
  </si>
  <si>
    <t>Manufacturing</t>
  </si>
  <si>
    <t>Offices, Hotels, Finance, Services</t>
  </si>
  <si>
    <t>Other or unknown</t>
  </si>
  <si>
    <t>Retail stores</t>
  </si>
  <si>
    <t>Wholesale, Transport, other utilities</t>
  </si>
  <si>
    <t>lca</t>
  </si>
  <si>
    <t>size</t>
  </si>
  <si>
    <t>date</t>
  </si>
  <si>
    <t>Date</t>
  </si>
  <si>
    <t>Industry</t>
  </si>
  <si>
    <t>Dual Enrolled</t>
  </si>
  <si>
    <t>Results Type</t>
  </si>
  <si>
    <t>Two-way tab flag</t>
  </si>
  <si>
    <t>product</t>
  </si>
  <si>
    <t>evt_start</t>
  </si>
  <si>
    <t>evt_end</t>
  </si>
  <si>
    <t>Event Hours</t>
  </si>
  <si>
    <t>By Period:</t>
  </si>
  <si>
    <t>avg ref</t>
  </si>
  <si>
    <t>avg obs</t>
  </si>
  <si>
    <t>avg LI</t>
  </si>
  <si>
    <t>avg 10</t>
  </si>
  <si>
    <t>avg30</t>
  </si>
  <si>
    <t>avg50</t>
  </si>
  <si>
    <t>avg70</t>
  </si>
  <si>
    <t>avg90</t>
  </si>
  <si>
    <t>CDH</t>
  </si>
  <si>
    <t>Avg evt hours</t>
  </si>
  <si>
    <t>Event flag</t>
  </si>
  <si>
    <t>std dev</t>
  </si>
  <si>
    <t>enrolled</t>
  </si>
  <si>
    <t>Enrollment</t>
  </si>
  <si>
    <t>Bid</t>
  </si>
  <si>
    <t>Average per Enrolled Customer</t>
  </si>
  <si>
    <t>fsl</t>
  </si>
  <si>
    <t>stderr_evt_hr</t>
  </si>
  <si>
    <t>active results</t>
  </si>
  <si>
    <t>se in mwh</t>
  </si>
  <si>
    <t>se per cust in kwh</t>
  </si>
  <si>
    <t>called</t>
  </si>
  <si>
    <t>stderr_evt_day</t>
  </si>
  <si>
    <t>Below 20 kW</t>
  </si>
  <si>
    <t>industry</t>
  </si>
  <si>
    <t>dual_enrolled</t>
  </si>
  <si>
    <t>maxscaleshare</t>
  </si>
  <si>
    <t>pass</t>
  </si>
  <si>
    <t>Color Coding Legend</t>
  </si>
  <si>
    <t>Event Window</t>
  </si>
  <si>
    <t>Confidential Data</t>
  </si>
  <si>
    <t>Event Day Information:</t>
  </si>
  <si>
    <t>Heat Buildup (Avg. °F, 12 AM to 5 PM)</t>
  </si>
  <si>
    <t>Number of Accounts Called</t>
  </si>
  <si>
    <t>Number of Accounts Enrolled</t>
  </si>
  <si>
    <t>Event Hour Reference Load</t>
  </si>
  <si>
    <t>% Load Reduction for Event Window</t>
  </si>
  <si>
    <t>Program FSL Achievement Rate</t>
  </si>
  <si>
    <t>Menu Options:</t>
  </si>
  <si>
    <t>Public Version. Redactions in "2019 Load Impact Evaluation of California Statewide Base Interruptible Programs (BIP) for Non-Residential Customers: Ex-post and Ex-ante Report" and appendices.</t>
  </si>
  <si>
    <t>Confidential information is denoted with black highlighting.</t>
  </si>
  <si>
    <t>Partial Event Hour</t>
  </si>
  <si>
    <t>partial</t>
  </si>
  <si>
    <t>PG&amp;E Base Interruptible Program (BIP) for PY2019: Ex-Post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</si>
</sst>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[$-409]mmmm\ d\,\ yyyy;@"/>
    <numFmt numFmtId="166" formatCode="0.0%"/>
    <numFmt numFmtId="167" formatCode="0.0"/>
  </numFmts>
  <fonts count="2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1"/>
      <color indexed="9"/>
      <name val="Arial Narrow"/>
      <family val="2"/>
    </font>
    <font>
      <b/>
      <sz val="10"/>
      <color indexed="9"/>
      <name val="Franklin Gothic Demi Cond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sz val="11"/>
      <color indexed="9"/>
      <name val="Arial"/>
      <family val="2"/>
    </font>
    <font>
      <sz val="10"/>
      <color indexed="9"/>
      <name val="Franklin Gothic Demi Cond"/>
      <family val="2"/>
    </font>
    <font>
      <b/>
      <vertAlign val="superscript"/>
      <sz val="11"/>
      <color indexed="9"/>
      <name val="Arial Narrow"/>
      <family val="2"/>
    </font>
    <font>
      <b/>
      <sz val="11"/>
      <color theme="0"/>
      <name val="Arial"/>
      <family val="2"/>
    </font>
    <font>
      <i/>
      <sz val="11"/>
      <name val="Calibri"/>
      <family val="2"/>
    </font>
    <font>
      <b/>
      <sz val="12"/>
      <color indexed="9"/>
      <name val="Arial Narrow"/>
      <family val="2"/>
    </font>
    <font>
      <b/>
      <sz val="20"/>
      <name val="Arial"/>
      <family val="2"/>
    </font>
    <font>
      <sz val="1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132577"/>
        <bgColor indexed="64"/>
      </patternFill>
    </fill>
    <fill>
      <patternFill patternType="solid">
        <fgColor rgb="FF0C257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 style="medium">
        <color indexed="56"/>
      </right>
      <top style="medium">
        <color indexed="9"/>
      </top>
      <bottom/>
      <diagonal/>
    </border>
    <border>
      <left style="medium">
        <color indexed="56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56"/>
      </right>
      <top/>
      <bottom style="medium">
        <color indexed="9"/>
      </bottom>
      <diagonal/>
    </border>
    <border>
      <left style="medium">
        <color indexed="56"/>
      </left>
      <right/>
      <top/>
      <bottom style="medium">
        <color indexed="56"/>
      </bottom>
      <diagonal/>
    </border>
    <border>
      <left style="medium">
        <color indexed="56"/>
      </left>
      <right style="thin">
        <color indexed="56"/>
      </right>
      <top/>
      <bottom style="medium">
        <color indexed="56"/>
      </bottom>
      <diagonal/>
    </border>
    <border>
      <left style="thin">
        <color indexed="56"/>
      </left>
      <right style="thin">
        <color indexed="56"/>
      </right>
      <top/>
      <bottom style="medium">
        <color indexed="56"/>
      </bottom>
      <diagonal/>
    </border>
    <border>
      <left style="medium">
        <color indexed="9"/>
      </left>
      <right/>
      <top style="medium">
        <color indexed="56"/>
      </top>
      <bottom/>
      <diagonal/>
    </border>
    <border>
      <left/>
      <right/>
      <top style="medium">
        <color indexed="56"/>
      </top>
      <bottom/>
      <diagonal/>
    </border>
    <border>
      <left/>
      <right style="medium">
        <color indexed="56"/>
      </right>
      <top style="medium">
        <color indexed="56"/>
      </top>
      <bottom/>
      <diagonal/>
    </border>
    <border>
      <left style="medium">
        <color indexed="9"/>
      </left>
      <right/>
      <top/>
      <bottom style="medium">
        <color indexed="9"/>
      </bottom>
      <diagonal/>
    </border>
    <border>
      <left/>
      <right/>
      <top/>
      <bottom style="medium">
        <color indexed="9"/>
      </bottom>
      <diagonal/>
    </border>
    <border>
      <left/>
      <right style="medium">
        <color indexed="56"/>
      </right>
      <top/>
      <bottom style="medium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56"/>
      </left>
      <right/>
      <top/>
      <bottom style="thin">
        <color indexed="64"/>
      </bottom>
      <diagonal/>
    </border>
    <border>
      <left style="medium">
        <color indexed="56"/>
      </left>
      <right style="medium">
        <color indexed="56"/>
      </right>
      <top/>
      <bottom style="thin">
        <color indexed="56"/>
      </bottom>
      <diagonal/>
    </border>
    <border>
      <left style="thin">
        <color indexed="56"/>
      </left>
      <right style="medium">
        <color indexed="56"/>
      </right>
      <top/>
      <bottom style="medium">
        <color indexed="56"/>
      </bottom>
      <diagonal/>
    </border>
    <border>
      <left/>
      <right style="medium">
        <color indexed="9"/>
      </right>
      <top style="medium">
        <color indexed="56"/>
      </top>
      <bottom style="medium">
        <color indexed="9"/>
      </bottom>
      <diagonal/>
    </border>
    <border>
      <left/>
      <right style="medium">
        <color indexed="9"/>
      </right>
      <top/>
      <bottom/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56"/>
      </left>
      <right style="medium">
        <color theme="0"/>
      </right>
      <top style="medium">
        <color indexed="56"/>
      </top>
      <bottom style="medium">
        <color indexed="9"/>
      </bottom>
      <diagonal/>
    </border>
    <border>
      <left style="medium">
        <color indexed="56"/>
      </left>
      <right style="medium">
        <color theme="0"/>
      </right>
      <top/>
      <bottom/>
      <diagonal/>
    </border>
    <border>
      <left style="medium">
        <color indexed="56"/>
      </left>
      <right style="medium">
        <color theme="0"/>
      </right>
      <top style="medium">
        <color indexed="9"/>
      </top>
      <bottom/>
      <diagonal/>
    </border>
    <border>
      <left style="medium">
        <color theme="0"/>
      </left>
      <right style="medium">
        <color theme="0"/>
      </right>
      <top style="medium">
        <color indexed="56"/>
      </top>
      <bottom style="medium">
        <color indexed="9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indexed="9"/>
      </top>
      <bottom/>
      <diagonal/>
    </border>
    <border>
      <left/>
      <right/>
      <top style="medium">
        <color indexed="56"/>
      </top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0" fillId="0" borderId="0" xfId="0" quotePrefix="1" applyAlignment="1">
      <alignment horizontal="left"/>
    </xf>
    <xf numFmtId="0" fontId="3" fillId="0" borderId="0" xfId="0" applyFont="1"/>
    <xf numFmtId="0" fontId="0" fillId="0" borderId="0" xfId="0" applyAlignment="1">
      <alignment horizontal="left"/>
    </xf>
    <xf numFmtId="0" fontId="0" fillId="0" borderId="0" xfId="0" applyFill="1"/>
    <xf numFmtId="0" fontId="9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165" fontId="9" fillId="0" borderId="1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/>
    </xf>
    <xf numFmtId="3" fontId="11" fillId="0" borderId="8" xfId="0" applyNumberFormat="1" applyFont="1" applyBorder="1" applyAlignment="1">
      <alignment horizontal="center"/>
    </xf>
    <xf numFmtId="3" fontId="11" fillId="0" borderId="9" xfId="0" applyNumberFormat="1" applyFont="1" applyBorder="1" applyAlignment="1">
      <alignment horizontal="center"/>
    </xf>
    <xf numFmtId="164" fontId="11" fillId="0" borderId="9" xfId="0" applyNumberFormat="1" applyFont="1" applyBorder="1" applyAlignment="1">
      <alignment horizontal="center"/>
    </xf>
    <xf numFmtId="0" fontId="14" fillId="2" borderId="0" xfId="0" applyFont="1" applyFill="1" applyAlignment="1">
      <alignment horizontal="left"/>
    </xf>
    <xf numFmtId="15" fontId="0" fillId="0" borderId="0" xfId="0" applyNumberFormat="1" applyAlignment="1">
      <alignment horizontal="left"/>
    </xf>
    <xf numFmtId="0" fontId="14" fillId="0" borderId="0" xfId="0" applyFont="1" applyFill="1" applyBorder="1" applyAlignment="1">
      <alignment horizontal="left"/>
    </xf>
    <xf numFmtId="0" fontId="14" fillId="0" borderId="0" xfId="0" quotePrefix="1" applyFont="1" applyFill="1" applyBorder="1" applyAlignment="1">
      <alignment horizontal="left"/>
    </xf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Border="1"/>
    <xf numFmtId="2" fontId="9" fillId="0" borderId="16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64" fontId="0" fillId="0" borderId="0" xfId="0" applyNumberFormat="1"/>
    <xf numFmtId="0" fontId="8" fillId="0" borderId="0" xfId="0" applyFont="1" applyAlignment="1">
      <alignment horizontal="left"/>
    </xf>
    <xf numFmtId="0" fontId="1" fillId="0" borderId="0" xfId="0" applyFont="1" applyBorder="1"/>
    <xf numFmtId="0" fontId="1" fillId="0" borderId="0" xfId="0" applyFont="1"/>
    <xf numFmtId="0" fontId="1" fillId="0" borderId="0" xfId="0" quotePrefix="1" applyFont="1" applyAlignment="1">
      <alignment horizontal="left"/>
    </xf>
    <xf numFmtId="0" fontId="1" fillId="0" borderId="0" xfId="0" quotePrefix="1" applyFont="1" applyBorder="1" applyAlignment="1">
      <alignment horizontal="left"/>
    </xf>
    <xf numFmtId="0" fontId="1" fillId="0" borderId="0" xfId="0" quotePrefix="1" applyFont="1" applyFill="1" applyBorder="1" applyAlignment="1">
      <alignment horizontal="left"/>
    </xf>
    <xf numFmtId="0" fontId="1" fillId="0" borderId="0" xfId="0" applyFont="1" applyAlignment="1">
      <alignment horizontal="right"/>
    </xf>
    <xf numFmtId="167" fontId="0" fillId="0" borderId="0" xfId="0" applyNumberFormat="1"/>
    <xf numFmtId="164" fontId="11" fillId="0" borderId="18" xfId="0" applyNumberFormat="1" applyFont="1" applyBorder="1" applyAlignment="1">
      <alignment horizontal="center" vertical="center"/>
    </xf>
    <xf numFmtId="11" fontId="0" fillId="0" borderId="0" xfId="0" applyNumberFormat="1"/>
    <xf numFmtId="0" fontId="0" fillId="0" borderId="0" xfId="0" quotePrefix="1" applyBorder="1" applyAlignment="1">
      <alignment horizontal="right"/>
    </xf>
    <xf numFmtId="164" fontId="11" fillId="0" borderId="8" xfId="0" applyNumberFormat="1" applyFont="1" applyBorder="1" applyAlignment="1">
      <alignment horizontal="center"/>
    </xf>
    <xf numFmtId="164" fontId="11" fillId="0" borderId="19" xfId="0" applyNumberFormat="1" applyFont="1" applyBorder="1" applyAlignment="1">
      <alignment horizontal="center"/>
    </xf>
    <xf numFmtId="0" fontId="0" fillId="3" borderId="0" xfId="0" applyFill="1"/>
    <xf numFmtId="14" fontId="0" fillId="0" borderId="0" xfId="0" applyNumberFormat="1"/>
    <xf numFmtId="0" fontId="1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2" fontId="9" fillId="0" borderId="1" xfId="0" applyNumberFormat="1" applyFont="1" applyFill="1" applyBorder="1" applyAlignment="1">
      <alignment horizontal="center" vertical="center"/>
    </xf>
    <xf numFmtId="15" fontId="1" fillId="0" borderId="0" xfId="0" applyNumberFormat="1" applyFont="1" applyFill="1" applyBorder="1" applyAlignment="1">
      <alignment horizontal="left"/>
    </xf>
    <xf numFmtId="1" fontId="0" fillId="0" borderId="0" xfId="0" applyNumberFormat="1"/>
    <xf numFmtId="0" fontId="0" fillId="0" borderId="0" xfId="0" applyNumberFormat="1"/>
    <xf numFmtId="0" fontId="6" fillId="4" borderId="10" xfId="0" applyFont="1" applyFill="1" applyBorder="1" applyAlignment="1">
      <alignment horizontal="centerContinuous"/>
    </xf>
    <xf numFmtId="0" fontId="7" fillId="4" borderId="11" xfId="0" applyFont="1" applyFill="1" applyBorder="1" applyAlignment="1">
      <alignment horizontal="centerContinuous"/>
    </xf>
    <xf numFmtId="0" fontId="7" fillId="4" borderId="12" xfId="0" applyFont="1" applyFill="1" applyBorder="1" applyAlignment="1">
      <alignment horizontal="centerContinuous"/>
    </xf>
    <xf numFmtId="0" fontId="5" fillId="4" borderId="13" xfId="0" applyFont="1" applyFill="1" applyBorder="1" applyAlignment="1">
      <alignment horizontal="centerContinuous"/>
    </xf>
    <xf numFmtId="0" fontId="5" fillId="4" borderId="14" xfId="0" applyFont="1" applyFill="1" applyBorder="1" applyAlignment="1">
      <alignment horizontal="centerContinuous"/>
    </xf>
    <xf numFmtId="0" fontId="5" fillId="4" borderId="15" xfId="0" applyFont="1" applyFill="1" applyBorder="1" applyAlignment="1">
      <alignment horizontal="centerContinuous"/>
    </xf>
    <xf numFmtId="0" fontId="10" fillId="4" borderId="2" xfId="0" applyFont="1" applyFill="1" applyBorder="1" applyAlignment="1">
      <alignment horizontal="right" wrapText="1" indent="1"/>
    </xf>
    <xf numFmtId="0" fontId="10" fillId="4" borderId="3" xfId="0" applyFont="1" applyFill="1" applyBorder="1" applyAlignment="1">
      <alignment horizontal="right" wrapText="1" indent="1"/>
    </xf>
    <xf numFmtId="0" fontId="13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Continuous"/>
    </xf>
    <xf numFmtId="0" fontId="5" fillId="4" borderId="6" xfId="0" applyFont="1" applyFill="1" applyBorder="1" applyAlignment="1">
      <alignment horizontal="centerContinuous"/>
    </xf>
    <xf numFmtId="0" fontId="5" fillId="4" borderId="4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0" fillId="6" borderId="0" xfId="0" applyFill="1"/>
    <xf numFmtId="0" fontId="0" fillId="6" borderId="0" xfId="0" applyFill="1" applyAlignment="1">
      <alignment horizontal="left"/>
    </xf>
    <xf numFmtId="0" fontId="3" fillId="6" borderId="0" xfId="0" applyFont="1" applyFill="1"/>
    <xf numFmtId="0" fontId="4" fillId="6" borderId="0" xfId="0" applyFont="1" applyFill="1" applyAlignment="1">
      <alignment horizontal="right"/>
    </xf>
    <xf numFmtId="164" fontId="4" fillId="6" borderId="0" xfId="0" applyNumberFormat="1" applyFont="1" applyFill="1" applyBorder="1" applyAlignment="1">
      <alignment horizontal="right" vertical="center"/>
    </xf>
    <xf numFmtId="164" fontId="4" fillId="6" borderId="0" xfId="0" applyNumberFormat="1" applyFont="1" applyFill="1" applyBorder="1" applyAlignment="1">
      <alignment horizontal="left" vertical="center"/>
    </xf>
    <xf numFmtId="49" fontId="9" fillId="6" borderId="0" xfId="0" applyNumberFormat="1" applyFont="1" applyFill="1" applyBorder="1" applyAlignment="1">
      <alignment horizontal="left" wrapText="1"/>
    </xf>
    <xf numFmtId="0" fontId="12" fillId="6" borderId="0" xfId="0" applyFont="1" applyFill="1" applyBorder="1" applyAlignment="1">
      <alignment horizontal="left"/>
    </xf>
    <xf numFmtId="0" fontId="9" fillId="6" borderId="0" xfId="0" applyFont="1" applyFill="1" applyBorder="1" applyAlignment="1">
      <alignment horizontal="left"/>
    </xf>
    <xf numFmtId="49" fontId="9" fillId="6" borderId="0" xfId="0" applyNumberFormat="1" applyFont="1" applyFill="1" applyBorder="1" applyAlignment="1">
      <alignment horizontal="left"/>
    </xf>
    <xf numFmtId="0" fontId="8" fillId="6" borderId="0" xfId="0" applyFont="1" applyFill="1" applyBorder="1" applyAlignment="1">
      <alignment horizontal="left" vertical="center"/>
    </xf>
    <xf numFmtId="165" fontId="9" fillId="6" borderId="0" xfId="0" applyNumberFormat="1" applyFont="1" applyFill="1" applyBorder="1" applyAlignment="1">
      <alignment horizontal="center" vertical="center"/>
    </xf>
    <xf numFmtId="0" fontId="8" fillId="6" borderId="0" xfId="0" applyFont="1" applyFill="1" applyBorder="1"/>
    <xf numFmtId="0" fontId="4" fillId="6" borderId="0" xfId="0" quotePrefix="1" applyFont="1" applyFill="1" applyAlignment="1">
      <alignment horizontal="right"/>
    </xf>
    <xf numFmtId="164" fontId="0" fillId="6" borderId="0" xfId="0" applyNumberFormat="1" applyFill="1"/>
    <xf numFmtId="0" fontId="1" fillId="6" borderId="0" xfId="0" applyFont="1" applyFill="1"/>
    <xf numFmtId="3" fontId="0" fillId="6" borderId="0" xfId="0" applyNumberFormat="1" applyFill="1"/>
    <xf numFmtId="164" fontId="4" fillId="6" borderId="0" xfId="0" applyNumberFormat="1" applyFont="1" applyFill="1" applyAlignment="1">
      <alignment horizontal="right"/>
    </xf>
    <xf numFmtId="166" fontId="4" fillId="6" borderId="0" xfId="1" applyNumberFormat="1" applyFont="1" applyFill="1" applyAlignment="1">
      <alignment horizontal="center"/>
    </xf>
    <xf numFmtId="166" fontId="0" fillId="6" borderId="0" xfId="1" applyNumberFormat="1" applyFont="1" applyFill="1"/>
    <xf numFmtId="0" fontId="17" fillId="7" borderId="0" xfId="0" applyFont="1" applyFill="1" applyAlignment="1">
      <alignment vertical="center"/>
    </xf>
    <xf numFmtId="0" fontId="17" fillId="0" borderId="0" xfId="0" quotePrefix="1" applyFont="1" applyAlignment="1">
      <alignment horizontal="left" vertical="center"/>
    </xf>
    <xf numFmtId="0" fontId="17" fillId="7" borderId="0" xfId="0" quotePrefix="1" applyFont="1" applyFill="1" applyAlignment="1">
      <alignment horizontal="left" vertical="center"/>
    </xf>
    <xf numFmtId="0" fontId="4" fillId="6" borderId="0" xfId="0" applyFont="1" applyFill="1"/>
    <xf numFmtId="0" fontId="16" fillId="5" borderId="33" xfId="0" quotePrefix="1" applyFont="1" applyFill="1" applyBorder="1" applyAlignment="1">
      <alignment horizontal="left" vertical="center"/>
    </xf>
    <xf numFmtId="0" fontId="16" fillId="5" borderId="34" xfId="0" quotePrefix="1" applyFont="1" applyFill="1" applyBorder="1" applyAlignment="1">
      <alignment horizontal="left" vertical="center"/>
    </xf>
    <xf numFmtId="0" fontId="9" fillId="6" borderId="0" xfId="0" applyFont="1" applyFill="1" applyAlignment="1">
      <alignment horizontal="center"/>
    </xf>
    <xf numFmtId="0" fontId="9" fillId="6" borderId="1" xfId="0" quotePrefix="1" applyFont="1" applyFill="1" applyBorder="1" applyAlignment="1">
      <alignment horizontal="center"/>
    </xf>
    <xf numFmtId="0" fontId="16" fillId="5" borderId="35" xfId="0" quotePrefix="1" applyFont="1" applyFill="1" applyBorder="1" applyAlignment="1">
      <alignment horizontal="left" vertical="center"/>
    </xf>
    <xf numFmtId="3" fontId="9" fillId="6" borderId="1" xfId="0" applyNumberFormat="1" applyFont="1" applyFill="1" applyBorder="1" applyAlignment="1">
      <alignment horizontal="center" vertical="center"/>
    </xf>
    <xf numFmtId="0" fontId="16" fillId="5" borderId="36" xfId="0" quotePrefix="1" applyFont="1" applyFill="1" applyBorder="1" applyAlignment="1">
      <alignment horizontal="left" vertical="center"/>
    </xf>
    <xf numFmtId="0" fontId="16" fillId="5" borderId="37" xfId="0" quotePrefix="1" applyFont="1" applyFill="1" applyBorder="1" applyAlignment="1">
      <alignment horizontal="left" vertical="center"/>
    </xf>
    <xf numFmtId="0" fontId="16" fillId="5" borderId="16" xfId="0" quotePrefix="1" applyFont="1" applyFill="1" applyBorder="1" applyAlignment="1">
      <alignment horizontal="left" vertical="center"/>
    </xf>
    <xf numFmtId="15" fontId="1" fillId="0" borderId="0" xfId="0" applyNumberFormat="1" applyFont="1"/>
    <xf numFmtId="9" fontId="9" fillId="6" borderId="1" xfId="1" applyFont="1" applyFill="1" applyBorder="1" applyAlignment="1">
      <alignment horizontal="center" vertical="center"/>
    </xf>
    <xf numFmtId="0" fontId="20" fillId="6" borderId="0" xfId="0" applyFont="1" applyFill="1"/>
    <xf numFmtId="2" fontId="5" fillId="4" borderId="5" xfId="0" applyNumberFormat="1" applyFont="1" applyFill="1" applyBorder="1" applyAlignment="1">
      <alignment horizontal="center" wrapText="1"/>
    </xf>
    <xf numFmtId="2" fontId="5" fillId="4" borderId="2" xfId="0" applyNumberFormat="1" applyFont="1" applyFill="1" applyBorder="1" applyAlignment="1">
      <alignment horizontal="center" wrapText="1"/>
    </xf>
    <xf numFmtId="2" fontId="5" fillId="4" borderId="5" xfId="0" quotePrefix="1" applyNumberFormat="1" applyFont="1" applyFill="1" applyBorder="1" applyAlignment="1">
      <alignment horizontal="center" wrapText="1"/>
    </xf>
    <xf numFmtId="0" fontId="5" fillId="4" borderId="23" xfId="0" applyFont="1" applyFill="1" applyBorder="1" applyAlignment="1">
      <alignment horizontal="center" wrapText="1"/>
    </xf>
    <xf numFmtId="0" fontId="5" fillId="4" borderId="24" xfId="0" applyFont="1" applyFill="1" applyBorder="1" applyAlignment="1">
      <alignment horizontal="center" wrapText="1"/>
    </xf>
    <xf numFmtId="0" fontId="5" fillId="4" borderId="25" xfId="0" applyFont="1" applyFill="1" applyBorder="1" applyAlignment="1">
      <alignment horizontal="center" wrapText="1"/>
    </xf>
    <xf numFmtId="0" fontId="5" fillId="4" borderId="26" xfId="0" applyFont="1" applyFill="1" applyBorder="1" applyAlignment="1">
      <alignment horizontal="center" wrapText="1"/>
    </xf>
    <xf numFmtId="0" fontId="5" fillId="4" borderId="27" xfId="0" applyFont="1" applyFill="1" applyBorder="1" applyAlignment="1">
      <alignment horizontal="center" wrapText="1"/>
    </xf>
    <xf numFmtId="0" fontId="5" fillId="4" borderId="28" xfId="0" applyFont="1" applyFill="1" applyBorder="1" applyAlignment="1">
      <alignment horizontal="center" wrapText="1"/>
    </xf>
    <xf numFmtId="0" fontId="5" fillId="4" borderId="29" xfId="0" applyFont="1" applyFill="1" applyBorder="1" applyAlignment="1">
      <alignment horizontal="center" wrapText="1"/>
    </xf>
    <xf numFmtId="0" fontId="5" fillId="4" borderId="0" xfId="0" applyFont="1" applyFill="1" applyBorder="1" applyAlignment="1">
      <alignment horizontal="center" wrapText="1"/>
    </xf>
    <xf numFmtId="0" fontId="5" fillId="4" borderId="30" xfId="0" applyFont="1" applyFill="1" applyBorder="1" applyAlignment="1">
      <alignment horizontal="center" wrapText="1"/>
    </xf>
    <xf numFmtId="0" fontId="5" fillId="4" borderId="20" xfId="0" quotePrefix="1" applyFont="1" applyFill="1" applyBorder="1" applyAlignment="1">
      <alignment horizontal="center" wrapText="1"/>
    </xf>
    <xf numFmtId="0" fontId="5" fillId="4" borderId="21" xfId="0" applyFont="1" applyFill="1" applyBorder="1" applyAlignment="1">
      <alignment horizontal="center" wrapText="1"/>
    </xf>
    <xf numFmtId="0" fontId="5" fillId="4" borderId="22" xfId="0" applyFont="1" applyFill="1" applyBorder="1" applyAlignment="1">
      <alignment horizontal="center" wrapText="1"/>
    </xf>
    <xf numFmtId="0" fontId="19" fillId="6" borderId="0" xfId="0" applyFont="1" applyFill="1" applyAlignment="1">
      <alignment horizontal="center" vertical="center"/>
    </xf>
    <xf numFmtId="0" fontId="18" fillId="5" borderId="44" xfId="0" applyFont="1" applyFill="1" applyBorder="1" applyAlignment="1">
      <alignment horizontal="center" wrapText="1"/>
    </xf>
    <xf numFmtId="0" fontId="18" fillId="5" borderId="45" xfId="0" applyFont="1" applyFill="1" applyBorder="1" applyAlignment="1">
      <alignment horizontal="center" wrapText="1"/>
    </xf>
    <xf numFmtId="0" fontId="18" fillId="5" borderId="46" xfId="0" applyFont="1" applyFill="1" applyBorder="1" applyAlignment="1">
      <alignment horizontal="center" wrapText="1"/>
    </xf>
    <xf numFmtId="0" fontId="18" fillId="5" borderId="47" xfId="0" applyFont="1" applyFill="1" applyBorder="1" applyAlignment="1">
      <alignment horizontal="center" wrapText="1"/>
    </xf>
    <xf numFmtId="0" fontId="18" fillId="5" borderId="48" xfId="0" applyFont="1" applyFill="1" applyBorder="1" applyAlignment="1">
      <alignment horizontal="center" wrapText="1"/>
    </xf>
    <xf numFmtId="0" fontId="18" fillId="5" borderId="49" xfId="0" applyFont="1" applyFill="1" applyBorder="1" applyAlignment="1">
      <alignment horizontal="center" wrapText="1"/>
    </xf>
    <xf numFmtId="0" fontId="1" fillId="6" borderId="42" xfId="0" applyFont="1" applyFill="1" applyBorder="1" applyAlignment="1">
      <alignment horizontal="center" vertical="center"/>
    </xf>
    <xf numFmtId="0" fontId="1" fillId="6" borderId="39" xfId="0" applyFont="1" applyFill="1" applyBorder="1" applyAlignment="1">
      <alignment horizontal="center" vertical="center"/>
    </xf>
    <xf numFmtId="0" fontId="0" fillId="8" borderId="43" xfId="0" applyFill="1" applyBorder="1" applyAlignment="1">
      <alignment horizontal="center"/>
    </xf>
    <xf numFmtId="0" fontId="0" fillId="8" borderId="41" xfId="0" applyFill="1" applyBorder="1" applyAlignment="1">
      <alignment horizontal="center"/>
    </xf>
    <xf numFmtId="0" fontId="1" fillId="6" borderId="38" xfId="0" applyFont="1" applyFill="1" applyBorder="1" applyAlignment="1">
      <alignment horizontal="center" vertical="center"/>
    </xf>
    <xf numFmtId="0" fontId="1" fillId="6" borderId="40" xfId="0" applyFont="1" applyFill="1" applyBorder="1" applyAlignment="1">
      <alignment horizontal="center" vertical="center"/>
    </xf>
    <xf numFmtId="0" fontId="0" fillId="9" borderId="31" xfId="0" applyFill="1" applyBorder="1" applyAlignment="1">
      <alignment horizontal="center"/>
    </xf>
    <xf numFmtId="0" fontId="0" fillId="9" borderId="32" xfId="0" applyFill="1" applyBorder="1" applyAlignment="1">
      <alignment horizontal="center"/>
    </xf>
    <xf numFmtId="0" fontId="1" fillId="6" borderId="50" xfId="0" applyFont="1" applyFill="1" applyBorder="1" applyAlignment="1">
      <alignment horizontal="center" vertical="center"/>
    </xf>
    <xf numFmtId="0" fontId="0" fillId="10" borderId="51" xfId="0" applyFill="1" applyBorder="1" applyAlignment="1">
      <alignment horizontal="center"/>
    </xf>
    <xf numFmtId="0" fontId="0" fillId="10" borderId="32" xfId="0" applyFill="1" applyBorder="1" applyAlignment="1">
      <alignment horizontal="center"/>
    </xf>
  </cellXfs>
  <cellStyles count="2">
    <cellStyle name="Normal" xfId="0" builtinId="0"/>
    <cellStyle name="Percent" xfId="1" builtinId="5"/>
  </cellStyles>
  <dxfs count="11"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indexed="43"/>
        </patternFill>
      </fill>
    </dxf>
    <dxf>
      <fill>
        <patternFill>
          <bgColor rgb="FFFFFF00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indexed="43"/>
        </patternFill>
      </fill>
    </dxf>
    <dxf>
      <fill>
        <patternFill>
          <bgColor rgb="FFFFFF00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colors>
    <mruColors>
      <color rgb="FF132577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0876735880728264E-2"/>
          <c:y val="0.14464877451772795"/>
          <c:w val="0.89698484206237328"/>
          <c:h val="0.71143973909841418"/>
        </c:manualLayout>
      </c:layout>
      <c:scatterChart>
        <c:scatterStyle val="smoothMarker"/>
        <c:varyColors val="0"/>
        <c:ser>
          <c:idx val="2"/>
          <c:order val="0"/>
          <c:tx>
            <c:strRef>
              <c:f>Table!$H$4:$H$6</c:f>
              <c:strCache>
                <c:ptCount val="3"/>
                <c:pt idx="0">
                  <c:v>Estimated Reference Load (MWh/hour)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8080"/>
                </a:solidFill>
                <a:prstDash val="solid"/>
              </a:ln>
            </c:spPr>
          </c:marker>
          <c:xVal>
            <c:numRef>
              <c:f>Table!$G$7:$G$30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Table!$H$7:$H$30</c:f>
              <c:numCache>
                <c:formatCode>#,##0.0</c:formatCode>
                <c:ptCount val="24"/>
                <c:pt idx="0">
                  <c:v>254.625</c:v>
                </c:pt>
                <c:pt idx="1">
                  <c:v>252.32769999999999</c:v>
                </c:pt>
                <c:pt idx="2">
                  <c:v>248.1224</c:v>
                </c:pt>
                <c:pt idx="3">
                  <c:v>246.45349999999999</c:v>
                </c:pt>
                <c:pt idx="4">
                  <c:v>244.99189999999999</c:v>
                </c:pt>
                <c:pt idx="5">
                  <c:v>245.06039999999999</c:v>
                </c:pt>
                <c:pt idx="6">
                  <c:v>242.9787</c:v>
                </c:pt>
                <c:pt idx="7">
                  <c:v>241.28739999999999</c:v>
                </c:pt>
                <c:pt idx="8">
                  <c:v>241.86160000000001</c:v>
                </c:pt>
                <c:pt idx="9">
                  <c:v>240.7405</c:v>
                </c:pt>
                <c:pt idx="10">
                  <c:v>241.07679999999999</c:v>
                </c:pt>
                <c:pt idx="11">
                  <c:v>241.87090000000001</c:v>
                </c:pt>
                <c:pt idx="12">
                  <c:v>242.86340000000001</c:v>
                </c:pt>
                <c:pt idx="13">
                  <c:v>245.15969999999999</c:v>
                </c:pt>
                <c:pt idx="14">
                  <c:v>244.79419999999999</c:v>
                </c:pt>
                <c:pt idx="15">
                  <c:v>245.5626</c:v>
                </c:pt>
                <c:pt idx="16">
                  <c:v>246.95699999999999</c:v>
                </c:pt>
                <c:pt idx="17">
                  <c:v>249.9152</c:v>
                </c:pt>
                <c:pt idx="18">
                  <c:v>253.4855</c:v>
                </c:pt>
                <c:pt idx="19">
                  <c:v>255.14570000000001</c:v>
                </c:pt>
                <c:pt idx="20">
                  <c:v>253.74690000000001</c:v>
                </c:pt>
                <c:pt idx="21">
                  <c:v>254.44739999999999</c:v>
                </c:pt>
                <c:pt idx="22">
                  <c:v>255.4641</c:v>
                </c:pt>
                <c:pt idx="23">
                  <c:v>260.33519999999999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468-4112-BF14-D96EB57232BB}"/>
            </c:ext>
          </c:extLst>
        </c:ser>
        <c:ser>
          <c:idx val="0"/>
          <c:order val="1"/>
          <c:tx>
            <c:strRef>
              <c:f>Table!$I$4:$I$6</c:f>
              <c:strCache>
                <c:ptCount val="3"/>
                <c:pt idx="0">
                  <c:v>Observed Event Day Load (MWh/hour)</c:v>
                </c:pt>
              </c:strCache>
            </c:strRef>
          </c:tx>
          <c:spPr>
            <a:ln w="25400">
              <a:solidFill>
                <a:srgbClr val="0066CC"/>
              </a:solidFill>
              <a:prstDash val="solid"/>
            </a:ln>
          </c:spPr>
          <c:marker>
            <c:symbol val="none"/>
          </c:marker>
          <c:xVal>
            <c:numRef>
              <c:f>Table!$G$7:$G$30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Table!$I$7:$I$30</c:f>
              <c:numCache>
                <c:formatCode>#,##0.0</c:formatCode>
                <c:ptCount val="24"/>
                <c:pt idx="0">
                  <c:v>249.07020600000001</c:v>
                </c:pt>
                <c:pt idx="1">
                  <c:v>248.54425699999999</c:v>
                </c:pt>
                <c:pt idx="2">
                  <c:v>245.87947199999999</c:v>
                </c:pt>
                <c:pt idx="3">
                  <c:v>244.99144099999998</c:v>
                </c:pt>
                <c:pt idx="4">
                  <c:v>242.902772</c:v>
                </c:pt>
                <c:pt idx="5">
                  <c:v>244.11792519999997</c:v>
                </c:pt>
                <c:pt idx="6">
                  <c:v>244.21024800000001</c:v>
                </c:pt>
                <c:pt idx="7">
                  <c:v>242.15307099999998</c:v>
                </c:pt>
                <c:pt idx="8">
                  <c:v>243.96402700000002</c:v>
                </c:pt>
                <c:pt idx="9">
                  <c:v>241.0988428</c:v>
                </c:pt>
                <c:pt idx="10">
                  <c:v>242.32235499999999</c:v>
                </c:pt>
                <c:pt idx="11">
                  <c:v>242.33936110000002</c:v>
                </c:pt>
                <c:pt idx="12">
                  <c:v>240.84135000000001</c:v>
                </c:pt>
                <c:pt idx="13">
                  <c:v>242.589777</c:v>
                </c:pt>
                <c:pt idx="14">
                  <c:v>244.0413796</c:v>
                </c:pt>
                <c:pt idx="15">
                  <c:v>245.74706879999999</c:v>
                </c:pt>
                <c:pt idx="16">
                  <c:v>208.64326</c:v>
                </c:pt>
                <c:pt idx="17">
                  <c:v>80.354800000000012</c:v>
                </c:pt>
                <c:pt idx="18">
                  <c:v>77.74199999999999</c:v>
                </c:pt>
                <c:pt idx="19">
                  <c:v>134.42520000000002</c:v>
                </c:pt>
                <c:pt idx="20">
                  <c:v>175.41019</c:v>
                </c:pt>
                <c:pt idx="21">
                  <c:v>189.23397999999997</c:v>
                </c:pt>
                <c:pt idx="22">
                  <c:v>195.10178000000002</c:v>
                </c:pt>
                <c:pt idx="23">
                  <c:v>198.57943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468-4112-BF14-D96EB57232BB}"/>
            </c:ext>
          </c:extLst>
        </c:ser>
        <c:ser>
          <c:idx val="1"/>
          <c:order val="2"/>
          <c:tx>
            <c:strRef>
              <c:f>Table!$D$8</c:f>
              <c:strCache>
                <c:ptCount val="1"/>
                <c:pt idx="0">
                  <c:v>Firm Service Level in MW</c:v>
                </c:pt>
              </c:strCache>
            </c:strRef>
          </c:tx>
          <c:spPr>
            <a:ln w="25400"/>
          </c:spPr>
          <c:marker>
            <c:symbol val="none"/>
          </c:marker>
          <c:xVal>
            <c:numRef>
              <c:f>Table!$G$7:$G$30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xVal>
          <c:yVal>
            <c:numRef>
              <c:f>(Table!$E$8,Table!$E$8,Table!$E$8,Table!$E$8,Table!$E$8,Table!$E$8,Table!$E$8,Table!$E$8,Table!$E$8,Table!$E$8,Table!$E$8,Table!$E$8,Table!$E$8,Table!$E$8,Table!$E$8,Table!$E$8,Table!$E$8,Table!$E$8,Table!$E$8,Table!$E$8,Table!$E$8,Table!$E$8,Table!$E$8,Table!$E$8)</c:f>
              <c:numCache>
                <c:formatCode>#,##0</c:formatCode>
                <c:ptCount val="24"/>
                <c:pt idx="0">
                  <c:v>78.004000000000005</c:v>
                </c:pt>
                <c:pt idx="1">
                  <c:v>78.004000000000005</c:v>
                </c:pt>
                <c:pt idx="2">
                  <c:v>78.004000000000005</c:v>
                </c:pt>
                <c:pt idx="3">
                  <c:v>78.004000000000005</c:v>
                </c:pt>
                <c:pt idx="4">
                  <c:v>78.004000000000005</c:v>
                </c:pt>
                <c:pt idx="5">
                  <c:v>78.004000000000005</c:v>
                </c:pt>
                <c:pt idx="6">
                  <c:v>78.004000000000005</c:v>
                </c:pt>
                <c:pt idx="7">
                  <c:v>78.004000000000005</c:v>
                </c:pt>
                <c:pt idx="8">
                  <c:v>78.004000000000005</c:v>
                </c:pt>
                <c:pt idx="9">
                  <c:v>78.004000000000005</c:v>
                </c:pt>
                <c:pt idx="10">
                  <c:v>78.004000000000005</c:v>
                </c:pt>
                <c:pt idx="11">
                  <c:v>78.004000000000005</c:v>
                </c:pt>
                <c:pt idx="12">
                  <c:v>78.004000000000005</c:v>
                </c:pt>
                <c:pt idx="13">
                  <c:v>78.004000000000005</c:v>
                </c:pt>
                <c:pt idx="14">
                  <c:v>78.004000000000005</c:v>
                </c:pt>
                <c:pt idx="15">
                  <c:v>78.004000000000005</c:v>
                </c:pt>
                <c:pt idx="16">
                  <c:v>78.004000000000005</c:v>
                </c:pt>
                <c:pt idx="17">
                  <c:v>78.004000000000005</c:v>
                </c:pt>
                <c:pt idx="18">
                  <c:v>78.004000000000005</c:v>
                </c:pt>
                <c:pt idx="19">
                  <c:v>78.004000000000005</c:v>
                </c:pt>
                <c:pt idx="20">
                  <c:v>78.004000000000005</c:v>
                </c:pt>
                <c:pt idx="21">
                  <c:v>78.004000000000005</c:v>
                </c:pt>
                <c:pt idx="22">
                  <c:v>78.004000000000005</c:v>
                </c:pt>
                <c:pt idx="23">
                  <c:v>78.004000000000005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468-4112-BF14-D96EB5723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5944048"/>
        <c:axId val="513520304"/>
      </c:scatterChart>
      <c:valAx>
        <c:axId val="365944048"/>
        <c:scaling>
          <c:orientation val="minMax"/>
          <c:max val="24"/>
          <c:min val="1"/>
        </c:scaling>
        <c:delete val="0"/>
        <c:axPos val="b"/>
        <c:title>
          <c:tx>
            <c:rich>
              <a:bodyPr/>
              <a:lstStyle/>
              <a:p>
                <a:pPr>
                  <a:defRPr sz="105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050" b="1">
                    <a:latin typeface="Arial" panose="020B0604020202020204" pitchFamily="34" charset="0"/>
                    <a:cs typeface="Arial" panose="020B0604020202020204" pitchFamily="34" charset="0"/>
                  </a:rPr>
                  <a:t>Hour Ending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Franklin Gothic Demi Cond"/>
                <a:cs typeface="Arial" panose="020B0604020202020204" pitchFamily="34" charset="0"/>
              </a:defRPr>
            </a:pPr>
            <a:endParaRPr lang="en-US"/>
          </a:p>
        </c:txPr>
        <c:crossAx val="513520304"/>
        <c:crosses val="autoZero"/>
        <c:crossBetween val="midCat"/>
        <c:majorUnit val="1"/>
      </c:valAx>
      <c:valAx>
        <c:axId val="51352030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en-US" sz="1100" b="1">
                    <a:latin typeface="Arial" panose="020B0604020202020204" pitchFamily="34" charset="0"/>
                    <a:cs typeface="Arial" panose="020B0604020202020204" pitchFamily="34" charset="0"/>
                  </a:rPr>
                  <a:t>Load</a:t>
                </a:r>
              </a:p>
            </c:rich>
          </c:tx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Franklin Gothic Demi Cond"/>
                <a:cs typeface="Arial" panose="020B0604020202020204" pitchFamily="34" charset="0"/>
              </a:defRPr>
            </a:pPr>
            <a:endParaRPr lang="en-US"/>
          </a:p>
        </c:txPr>
        <c:crossAx val="365944048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6.9981828875986182E-2"/>
          <c:y val="2.3985964520392398E-2"/>
          <c:w val="0.89803620929474859"/>
          <c:h val="0.10813322741625962"/>
        </c:manualLayout>
      </c:layout>
      <c:overlay val="0"/>
      <c:spPr>
        <a:solidFill>
          <a:srgbClr val="FFFFFF"/>
        </a:solidFill>
        <a:ln w="12700">
          <a:solidFill>
            <a:schemeClr val="tx1">
              <a:lumMod val="50000"/>
              <a:lumOff val="50000"/>
            </a:schemeClr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Franklin Gothic Demi Cond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969696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13</xdr:row>
      <xdr:rowOff>54428</xdr:rowOff>
    </xdr:from>
    <xdr:to>
      <xdr:col>4</xdr:col>
      <xdr:colOff>1326696</xdr:colOff>
      <xdr:row>33</xdr:row>
      <xdr:rowOff>175932</xdr:rowOff>
    </xdr:to>
    <xdr:graphicFrame macro="">
      <xdr:nvGraphicFramePr>
        <xdr:cNvPr id="1100" name="Chart 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12</xdr:col>
      <xdr:colOff>432622</xdr:colOff>
      <xdr:row>0</xdr:row>
      <xdr:rowOff>0</xdr:rowOff>
    </xdr:from>
    <xdr:to>
      <xdr:col>16</xdr:col>
      <xdr:colOff>10885</xdr:colOff>
      <xdr:row>2</xdr:row>
      <xdr:rowOff>29058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6099341-1487-44EF-9ACB-5B20407EAD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28980" y="0"/>
          <a:ext cx="2785466" cy="6876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9"/>
  <sheetViews>
    <sheetView tabSelected="1" zoomScale="80" zoomScaleNormal="80" workbookViewId="0">
      <selection activeCell="B7" sqref="B7"/>
    </sheetView>
  </sheetViews>
  <sheetFormatPr defaultColWidth="9.17578125" defaultRowHeight="12.7" x14ac:dyDescent="0.4"/>
  <cols>
    <col min="1" max="1" width="22.5859375" style="57" customWidth="1"/>
    <col min="2" max="2" width="20.5859375" style="57" customWidth="1"/>
    <col min="3" max="3" width="4.234375" style="57" customWidth="1"/>
    <col min="4" max="4" width="45.703125" style="57" customWidth="1"/>
    <col min="5" max="5" width="18.9375" style="57" customWidth="1"/>
    <col min="6" max="6" width="4.234375" style="57" customWidth="1"/>
    <col min="7" max="7" width="17.8203125" style="57" customWidth="1"/>
    <col min="8" max="8" width="16.17578125" style="57" customWidth="1"/>
    <col min="9" max="9" width="13.234375" style="57" customWidth="1"/>
    <col min="10" max="10" width="13" style="57" customWidth="1"/>
    <col min="11" max="11" width="15.5859375" style="57" customWidth="1"/>
    <col min="12" max="16" width="11.3515625" style="57" customWidth="1"/>
    <col min="17" max="17" width="4.234375" style="57" customWidth="1"/>
    <col min="18" max="18" width="16.29296875" style="57" customWidth="1"/>
    <col min="19" max="16384" width="9.17578125" style="57"/>
  </cols>
  <sheetData>
    <row r="1" spans="1:19" ht="35.1" customHeight="1" x14ac:dyDescent="0.4">
      <c r="A1" s="108" t="s">
        <v>265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</row>
    <row r="2" spans="1:19" ht="17.25" customHeight="1" x14ac:dyDescent="0.5">
      <c r="A2" s="59" t="str">
        <f>IF(Two_way_tab_flag=1,"Two-way tabulations not available.  Select 'All' in at least two of three cells.",IF(DGET(data,"pass",_xlnm.Criteria)=1,"","Results omitted due to confidentiality concerns"))</f>
        <v/>
      </c>
      <c r="B2" s="58"/>
      <c r="C2" s="58"/>
      <c r="D2" s="58"/>
      <c r="E2" s="58"/>
      <c r="F2" s="58"/>
      <c r="H2" s="70"/>
      <c r="K2" s="60"/>
      <c r="M2" s="61"/>
      <c r="N2" s="62"/>
    </row>
    <row r="3" spans="1:19" ht="18" customHeight="1" thickBot="1" x14ac:dyDescent="0.45">
      <c r="A3" s="80" t="s">
        <v>260</v>
      </c>
      <c r="C3" s="58"/>
      <c r="D3" s="80" t="s">
        <v>253</v>
      </c>
      <c r="E3" s="58"/>
      <c r="F3" s="58"/>
    </row>
    <row r="4" spans="1:19" ht="18" customHeight="1" thickBot="1" x14ac:dyDescent="0.55000000000000004">
      <c r="A4" s="89" t="s">
        <v>17</v>
      </c>
      <c r="B4" s="5" t="s">
        <v>3</v>
      </c>
      <c r="C4" s="58"/>
      <c r="D4" s="87" t="s">
        <v>220</v>
      </c>
      <c r="E4" s="84" t="str">
        <f>IF(ISNA(VLOOKUP(date,Lookups!$B$11:$F$24,5,FALSE)),"n/a",VLOOKUP(date,Lookups!$B$11:$F$24,5,FALSE))</f>
        <v>Hours Ending 18 to 19</v>
      </c>
      <c r="F4" s="58"/>
      <c r="G4" s="96" t="s">
        <v>4</v>
      </c>
      <c r="H4" s="99" t="str">
        <f>"Estimated Reference Load ("&amp;IF(Result_type="Aggregate impact","MWh","kWh")&amp;"/hour)"</f>
        <v>Estimated Reference Load (MWh/hour)</v>
      </c>
      <c r="I4" s="102" t="str">
        <f>"Observed Event Day Load ("&amp;IF(Result_type="Aggregate Impact","MWh/hour)","kWh/hour)")</f>
        <v>Observed Event Day Load (MWh/hour)</v>
      </c>
      <c r="J4" s="99" t="str">
        <f>"Estimated Load Impact ("&amp;IF(Result_type="Aggregate Impact","MWh/hour)","kWh/hour)")</f>
        <v>Estimated Load Impact (MWh/hour)</v>
      </c>
      <c r="K4" s="105" t="s">
        <v>163</v>
      </c>
      <c r="L4" s="43"/>
      <c r="M4" s="44"/>
      <c r="N4" s="44"/>
      <c r="O4" s="44"/>
      <c r="P4" s="45"/>
      <c r="R4" s="109" t="s">
        <v>250</v>
      </c>
      <c r="S4" s="110"/>
    </row>
    <row r="5" spans="1:19" ht="18" customHeight="1" thickBot="1" x14ac:dyDescent="0.5">
      <c r="A5" s="81" t="s">
        <v>18</v>
      </c>
      <c r="B5" s="7" t="s">
        <v>2</v>
      </c>
      <c r="C5" s="58"/>
      <c r="D5" s="85" t="s">
        <v>254</v>
      </c>
      <c r="E5" s="86">
        <f>IF(Called=0,"n/a",AVERAGE(K7:K23))</f>
        <v>68.013049411764698</v>
      </c>
      <c r="F5" s="58"/>
      <c r="G5" s="97"/>
      <c r="H5" s="100"/>
      <c r="I5" s="103"/>
      <c r="J5" s="100"/>
      <c r="K5" s="106"/>
      <c r="L5" s="46" t="str">
        <f>"Uncertainty Adjusted Impact ("&amp;IF(Result_type="Aggregate Impact","MWh/hr)- Percentiles","kWh/hr)- Percentiles")</f>
        <v>Uncertainty Adjusted Impact (MWh/hr)- Percentiles</v>
      </c>
      <c r="M5" s="47"/>
      <c r="N5" s="47"/>
      <c r="O5" s="47"/>
      <c r="P5" s="48"/>
      <c r="R5" s="111"/>
      <c r="S5" s="112"/>
    </row>
    <row r="6" spans="1:19" ht="18" customHeight="1" thickBot="1" x14ac:dyDescent="0.5">
      <c r="A6" s="81" t="s">
        <v>16</v>
      </c>
      <c r="B6" s="19" t="s">
        <v>1</v>
      </c>
      <c r="C6" s="58"/>
      <c r="D6" s="85" t="s">
        <v>255</v>
      </c>
      <c r="E6" s="86">
        <f>IF(Two_way_tab_flag=1,"n/a",DGET(data,"called",_xlnm.Criteria))</f>
        <v>512</v>
      </c>
      <c r="F6" s="58"/>
      <c r="G6" s="98"/>
      <c r="H6" s="101"/>
      <c r="I6" s="104"/>
      <c r="J6" s="101"/>
      <c r="K6" s="107"/>
      <c r="L6" s="49" t="s">
        <v>5</v>
      </c>
      <c r="M6" s="49" t="s">
        <v>6</v>
      </c>
      <c r="N6" s="49" t="s">
        <v>7</v>
      </c>
      <c r="O6" s="49" t="s">
        <v>8</v>
      </c>
      <c r="P6" s="50" t="s">
        <v>9</v>
      </c>
      <c r="R6" s="113"/>
      <c r="S6" s="114"/>
    </row>
    <row r="7" spans="1:19" ht="18" customHeight="1" thickBot="1" x14ac:dyDescent="0.5">
      <c r="A7" s="82" t="s">
        <v>196</v>
      </c>
      <c r="B7" s="39" t="s">
        <v>1</v>
      </c>
      <c r="C7" s="63"/>
      <c r="D7" s="85" t="s">
        <v>256</v>
      </c>
      <c r="E7" s="86">
        <f>Enrolled</f>
        <v>512</v>
      </c>
      <c r="F7" s="63"/>
      <c r="G7" s="20">
        <v>1</v>
      </c>
      <c r="H7" s="30">
        <f>IF(Called=0,"n/a",DGET(data,"Ref_hr1",_xlnm.Criteria)/IF(Result_type="Aggregate Impact",1,Called/1000))</f>
        <v>254.625</v>
      </c>
      <c r="I7" s="30">
        <f t="shared" ref="I7:I30" si="0">IF(Called=0,"n/a",H7-J7)</f>
        <v>249.07020600000001</v>
      </c>
      <c r="J7" s="30">
        <f>IF(Called=0,"n/a",DGET(data,"Pctile50_hr1",_xlnm.Criteria)/IF(Result_type="Aggregate Impact",1,Called/1000))</f>
        <v>5.5547940000000002</v>
      </c>
      <c r="K7" s="30">
        <f>IF(Called=0,"n/a",DGET(data,"Temp_hr1",_xlnm.Criteria))</f>
        <v>60.797199999999997</v>
      </c>
      <c r="L7" s="30">
        <f>IF(Called=0,"n/a",DGET(data,"Pctile10_hr1",_xlnm.Criteria)/IF(Result_type="Aggregate Impact",1,Called/1000))</f>
        <v>3.609289</v>
      </c>
      <c r="M7" s="30">
        <f>IF(Called=0,"n/a",DGET(data,"Pctile30_hr1",_xlnm.Criteria)/IF(Result_type="Aggregate Impact",1,Called/1000))</f>
        <v>4.7587089999999996</v>
      </c>
      <c r="N7" s="30">
        <f>J7</f>
        <v>5.5547940000000002</v>
      </c>
      <c r="O7" s="30">
        <f>IF(Called=0,"n/a",DGET(data,"Pctile70_hr1",_xlnm.Criteria)/IF(Result_type="Aggregate Impact",1,Called/1000))</f>
        <v>6.3508789999999999</v>
      </c>
      <c r="P7" s="30">
        <f>IF(Called=0,"n/a",DGET(data,"Pctile90_hr1",_xlnm.Criteria)/IF(Result_type="Aggregate Impact",1,Called/1000))</f>
        <v>7.5003000000000002</v>
      </c>
      <c r="R7" s="115" t="s">
        <v>251</v>
      </c>
      <c r="S7" s="117"/>
    </row>
    <row r="8" spans="1:19" ht="18" customHeight="1" thickBot="1" x14ac:dyDescent="0.5">
      <c r="C8" s="64"/>
      <c r="D8" s="85" t="str">
        <f>"Firm Service Level in "&amp;IF(Result_type="Aggregate Impact","MW","kW")</f>
        <v>Firm Service Level in MW</v>
      </c>
      <c r="E8" s="86">
        <f>IF(Two_way_tab_flag=1,"n/a",DGET(data,"FSL",_xlnm.Criteria)*IF(Result_type="Aggregate Impact",1,1000/Called))</f>
        <v>78.004000000000005</v>
      </c>
      <c r="F8" s="64"/>
      <c r="G8" s="20">
        <v>2</v>
      </c>
      <c r="H8" s="30">
        <f>IF(Called=0,"n/a",DGET(data,"Ref_hr2",_xlnm.Criteria)/IF(Result_type="Aggregate Impact",1,Called/1000))</f>
        <v>252.32769999999999</v>
      </c>
      <c r="I8" s="30">
        <f t="shared" si="0"/>
        <v>248.54425699999999</v>
      </c>
      <c r="J8" s="30">
        <f>IF(Called=0,"n/a",DGET(data,"Pctile50_hr2",_xlnm.Criteria)/IF(Result_type="Aggregate Impact",1,Called/1000))</f>
        <v>3.7834430000000001</v>
      </c>
      <c r="K8" s="30">
        <f>IF(Called=0,"n/a",DGET(data,"Temp_hr2",_xlnm.Criteria))</f>
        <v>59.671579999999999</v>
      </c>
      <c r="L8" s="30">
        <f>IF(Called=0,"n/a",DGET(data,"Pctile10_hr2",_xlnm.Criteria)/IF(Result_type="Aggregate Impact",1,Called/1000))</f>
        <v>2.221813</v>
      </c>
      <c r="M8" s="30">
        <f>IF(Called=0,"n/a",DGET(data,"Pctile30_hr2",_xlnm.Criteria)/IF(Result_type="Aggregate Impact",1,Called/1000))</f>
        <v>3.1444369999999999</v>
      </c>
      <c r="N8" s="30">
        <f t="shared" ref="N8:N30" si="1">J8</f>
        <v>3.7834430000000001</v>
      </c>
      <c r="O8" s="30">
        <f>IF(Called=0,"n/a",DGET(data,"Pctile70_hr2",_xlnm.Criteria)/IF(Result_type="Aggregate Impact",1,Called/1000))</f>
        <v>4.4224500000000004</v>
      </c>
      <c r="P8" s="30">
        <f>IF(Called=0,"n/a",DGET(data,"Pctile90_hr2",_xlnm.Criteria)/IF(Result_type="Aggregate Impact",1,Called/1000))</f>
        <v>5.3450730000000002</v>
      </c>
      <c r="R8" s="116"/>
      <c r="S8" s="118"/>
    </row>
    <row r="9" spans="1:19" ht="17.25" customHeight="1" thickBot="1" x14ac:dyDescent="0.5">
      <c r="C9" s="65"/>
      <c r="D9" s="85" t="s">
        <v>257</v>
      </c>
      <c r="E9" s="86">
        <f>IF(Called=0,"n/a",Lookups!D55)</f>
        <v>251.70035000000001</v>
      </c>
      <c r="F9" s="65"/>
      <c r="G9" s="20">
        <v>3</v>
      </c>
      <c r="H9" s="30">
        <f>IF(Called=0,"n/a",DGET(data,"Ref_hr3",_xlnm.Criteria)/IF(Result_type="Aggregate Impact",1,Called/1000))</f>
        <v>248.1224</v>
      </c>
      <c r="I9" s="30">
        <f t="shared" si="0"/>
        <v>245.87947199999999</v>
      </c>
      <c r="J9" s="30">
        <f>IF(Called=0,"n/a",DGET(data,"Pctile50_hr3",_xlnm.Criteria)/IF(Result_type="Aggregate Impact",1,Called/1000))</f>
        <v>2.242928</v>
      </c>
      <c r="K9" s="30">
        <f>IF(Called=0,"n/a",DGET(data,"Temp_hr3",_xlnm.Criteria))</f>
        <v>58.726349999999996</v>
      </c>
      <c r="L9" s="30">
        <f>IF(Called=0,"n/a",DGET(data,"Pctile10_hr3",_xlnm.Criteria)/IF(Result_type="Aggregate Impact",1,Called/1000))</f>
        <v>0.94975419999999999</v>
      </c>
      <c r="M9" s="30">
        <f>IF(Called=0,"n/a",DGET(data,"Pctile30_hr3",_xlnm.Criteria)/IF(Result_type="Aggregate Impact",1,Called/1000))</f>
        <v>1.7137720000000001</v>
      </c>
      <c r="N9" s="30">
        <f t="shared" si="1"/>
        <v>2.242928</v>
      </c>
      <c r="O9" s="30">
        <f>IF(Called=0,"n/a",DGET(data,"Pctile70_hr3",_xlnm.Criteria)/IF(Result_type="Aggregate Impact",1,Called/1000))</f>
        <v>2.772084</v>
      </c>
      <c r="P9" s="30">
        <f>IF(Called=0,"n/a",DGET(data,"Pctile90_hr3",_xlnm.Criteria)/IF(Result_type="Aggregate Impact",1,Called/1000))</f>
        <v>3.5361009999999999</v>
      </c>
      <c r="R9" s="123" t="s">
        <v>263</v>
      </c>
      <c r="S9" s="124"/>
    </row>
    <row r="10" spans="1:19" ht="17.25" customHeight="1" thickBot="1" x14ac:dyDescent="0.5">
      <c r="A10" s="67"/>
      <c r="B10" s="68"/>
      <c r="C10" s="66"/>
      <c r="D10" s="85" t="str">
        <f>"Avg. Load Reduction for Event Window ("&amp;IF(Result_type="Aggregate impact","MW","kW")&amp;")"</f>
        <v>Avg. Load Reduction for Event Window (MW)</v>
      </c>
      <c r="E10" s="86">
        <f>IF(Called=0,"n/a",Lookups!F55)</f>
        <v>172.65195</v>
      </c>
      <c r="F10" s="66"/>
      <c r="G10" s="20">
        <v>4</v>
      </c>
      <c r="H10" s="30">
        <f>IF(Called=0,"n/a",DGET(data,"Ref_hr4",_xlnm.Criteria)/IF(Result_type="Aggregate Impact",1,Called/1000))</f>
        <v>246.45349999999999</v>
      </c>
      <c r="I10" s="30">
        <f t="shared" si="0"/>
        <v>244.99144099999998</v>
      </c>
      <c r="J10" s="30">
        <f>IF(Called=0,"n/a",DGET(data,"Pctile50_hr4",_xlnm.Criteria)/IF(Result_type="Aggregate Impact",1,Called/1000))</f>
        <v>1.462059</v>
      </c>
      <c r="K10" s="30">
        <f>IF(Called=0,"n/a",DGET(data,"Temp_hr4",_xlnm.Criteria))</f>
        <v>57.331740000000003</v>
      </c>
      <c r="L10" s="30">
        <f>IF(Called=0,"n/a",DGET(data,"Pctile10_hr4",_xlnm.Criteria)/IF(Result_type="Aggregate Impact",1,Called/1000))</f>
        <v>8.0698699999999998E-2</v>
      </c>
      <c r="M10" s="30">
        <f>IF(Called=0,"n/a",DGET(data,"Pctile30_hr4",_xlnm.Criteria)/IF(Result_type="Aggregate Impact",1,Called/1000))</f>
        <v>0.89681770000000005</v>
      </c>
      <c r="N10" s="30">
        <f t="shared" si="1"/>
        <v>1.462059</v>
      </c>
      <c r="O10" s="30">
        <f>IF(Called=0,"n/a",DGET(data,"Pctile70_hr4",_xlnm.Criteria)/IF(Result_type="Aggregate Impact",1,Called/1000))</f>
        <v>2.027301</v>
      </c>
      <c r="P10" s="30">
        <f>IF(Called=0,"n/a",DGET(data,"Pctile90_hr4",_xlnm.Criteria)/IF(Result_type="Aggregate Impact",1,Called/1000))</f>
        <v>2.8434200000000001</v>
      </c>
      <c r="R10" s="120"/>
      <c r="S10" s="125"/>
    </row>
    <row r="11" spans="1:19" ht="17.25" customHeight="1" thickBot="1" x14ac:dyDescent="0.5">
      <c r="C11" s="66"/>
      <c r="D11" s="85" t="s">
        <v>258</v>
      </c>
      <c r="E11" s="91">
        <f>IF(Called=0,"n/a",E10/E9)</f>
        <v>0.68594243114878461</v>
      </c>
      <c r="F11" s="66"/>
      <c r="G11" s="20">
        <v>5</v>
      </c>
      <c r="H11" s="30">
        <f>IF(Called=0,"n/a",DGET(data,"Ref_hr5",_xlnm.Criteria)/IF(Result_type="Aggregate Impact",1,Called/1000))</f>
        <v>244.99189999999999</v>
      </c>
      <c r="I11" s="30">
        <f t="shared" si="0"/>
        <v>242.902772</v>
      </c>
      <c r="J11" s="30">
        <f>IF(Called=0,"n/a",DGET(data,"Pctile50_hr5",_xlnm.Criteria)/IF(Result_type="Aggregate Impact",1,Called/1000))</f>
        <v>2.0891280000000001</v>
      </c>
      <c r="K11" s="30">
        <f>IF(Called=0,"n/a",DGET(data,"Temp_hr5",_xlnm.Criteria))</f>
        <v>56.269849999999998</v>
      </c>
      <c r="L11" s="30">
        <f>IF(Called=0,"n/a",DGET(data,"Pctile10_hr5",_xlnm.Criteria)/IF(Result_type="Aggregate Impact",1,Called/1000))</f>
        <v>0.87779070000000003</v>
      </c>
      <c r="M11" s="30">
        <f>IF(Called=0,"n/a",DGET(data,"Pctile30_hr5",_xlnm.Criteria)/IF(Result_type="Aggregate Impact",1,Called/1000))</f>
        <v>1.593458</v>
      </c>
      <c r="N11" s="30">
        <f t="shared" si="1"/>
        <v>2.0891280000000001</v>
      </c>
      <c r="O11" s="30">
        <f>IF(Called=0,"n/a",DGET(data,"Pctile70_hr5",_xlnm.Criteria)/IF(Result_type="Aggregate Impact",1,Called/1000))</f>
        <v>2.584797</v>
      </c>
      <c r="P11" s="30">
        <f>IF(Called=0,"n/a",DGET(data,"Pctile90_hr5",_xlnm.Criteria)/IF(Result_type="Aggregate Impact",1,Called/1000))</f>
        <v>3.300465</v>
      </c>
      <c r="R11" s="119" t="s">
        <v>252</v>
      </c>
      <c r="S11" s="121"/>
    </row>
    <row r="12" spans="1:19" ht="17.25" customHeight="1" thickBot="1" x14ac:dyDescent="0.45">
      <c r="D12" s="88" t="s">
        <v>259</v>
      </c>
      <c r="E12" s="91">
        <f>IF(Called=0,"n/a",E10/(E9-E8))</f>
        <v>0.99398720813649799</v>
      </c>
      <c r="F12" s="58"/>
      <c r="G12" s="20">
        <v>6</v>
      </c>
      <c r="H12" s="30">
        <f>IF(Called=0,"n/a",DGET(data,"Ref_hr6",_xlnm.Criteria)/IF(Result_type="Aggregate Impact",1,Called/1000))</f>
        <v>245.06039999999999</v>
      </c>
      <c r="I12" s="30">
        <f t="shared" si="0"/>
        <v>244.11792519999997</v>
      </c>
      <c r="J12" s="30">
        <f>IF(Called=0,"n/a",DGET(data,"Pctile50_hr6",_xlnm.Criteria)/IF(Result_type="Aggregate Impact",1,Called/1000))</f>
        <v>0.94247479999999995</v>
      </c>
      <c r="K12" s="30">
        <f>IF(Called=0,"n/a",DGET(data,"Temp_hr6",_xlnm.Criteria))</f>
        <v>55.373539999999998</v>
      </c>
      <c r="L12" s="30">
        <f>IF(Called=0,"n/a",DGET(data,"Pctile10_hr6",_xlnm.Criteria)/IF(Result_type="Aggregate Impact",1,Called/1000))</f>
        <v>-0.1958927</v>
      </c>
      <c r="M12" s="30">
        <f>IF(Called=0,"n/a",DGET(data,"Pctile30_hr6",_xlnm.Criteria)/IF(Result_type="Aggregate Impact",1,Called/1000))</f>
        <v>0.47666409999999998</v>
      </c>
      <c r="N12" s="30">
        <f t="shared" si="1"/>
        <v>0.94247479999999995</v>
      </c>
      <c r="O12" s="30">
        <f>IF(Called=0,"n/a",DGET(data,"Pctile70_hr6",_xlnm.Criteria)/IF(Result_type="Aggregate Impact",1,Called/1000))</f>
        <v>1.4082859999999999</v>
      </c>
      <c r="P12" s="30">
        <f>IF(Called=0,"n/a",DGET(data,"Pctile90_hr6",_xlnm.Criteria)/IF(Result_type="Aggregate Impact",1,Called/1000))</f>
        <v>2.0808420000000001</v>
      </c>
      <c r="R12" s="120"/>
      <c r="S12" s="122"/>
    </row>
    <row r="13" spans="1:19" ht="17.25" customHeight="1" x14ac:dyDescent="0.45">
      <c r="D13" s="92" t="str">
        <f>IF(partial=1, "Note: Event-hour averages are calculated over only full event hours.", "")</f>
        <v/>
      </c>
      <c r="E13" s="83"/>
      <c r="F13" s="58"/>
      <c r="G13" s="20">
        <v>7</v>
      </c>
      <c r="H13" s="30">
        <f>IF(Called=0,"n/a",DGET(data,"Ref_hr7",_xlnm.Criteria)/IF(Result_type="Aggregate Impact",1,Called/1000))</f>
        <v>242.9787</v>
      </c>
      <c r="I13" s="30">
        <f t="shared" si="0"/>
        <v>244.21024800000001</v>
      </c>
      <c r="J13" s="30">
        <f>IF(Called=0,"n/a",DGET(data,"Pctile50_hr7",_xlnm.Criteria)/IF(Result_type="Aggregate Impact",1,Called/1000))</f>
        <v>-1.2315480000000001</v>
      </c>
      <c r="K13" s="30">
        <f>IF(Called=0,"n/a",DGET(data,"Temp_hr7",_xlnm.Criteria))</f>
        <v>54.643920000000001</v>
      </c>
      <c r="L13" s="30">
        <f>IF(Called=0,"n/a",DGET(data,"Pctile10_hr7",_xlnm.Criteria)/IF(Result_type="Aggregate Impact",1,Called/1000))</f>
        <v>-2.4959899999999999</v>
      </c>
      <c r="M13" s="30">
        <f>IF(Called=0,"n/a",DGET(data,"Pctile30_hr7",_xlnm.Criteria)/IF(Result_type="Aggregate Impact",1,Called/1000))</f>
        <v>-1.7489479999999999</v>
      </c>
      <c r="N13" s="30">
        <f t="shared" si="1"/>
        <v>-1.2315480000000001</v>
      </c>
      <c r="O13" s="30">
        <f>IF(Called=0,"n/a",DGET(data,"Pctile70_hr7",_xlnm.Criteria)/IF(Result_type="Aggregate Impact",1,Called/1000))</f>
        <v>-0.71414860000000002</v>
      </c>
      <c r="P13" s="30">
        <f>IF(Called=0,"n/a",DGET(data,"Pctile90_hr7",_xlnm.Criteria)/IF(Result_type="Aggregate Impact",1,Called/1000))</f>
        <v>3.2894100000000003E-2</v>
      </c>
    </row>
    <row r="14" spans="1:19" ht="17.25" customHeight="1" x14ac:dyDescent="0.4">
      <c r="A14" s="69"/>
      <c r="C14" s="58"/>
      <c r="D14" s="58"/>
      <c r="E14" s="58"/>
      <c r="F14" s="58"/>
      <c r="G14" s="20">
        <v>8</v>
      </c>
      <c r="H14" s="30">
        <f>IF(Called=0,"n/a",DGET(data,"Ref_hr8",_xlnm.Criteria)/IF(Result_type="Aggregate Impact",1,Called/1000))</f>
        <v>241.28739999999999</v>
      </c>
      <c r="I14" s="30">
        <f t="shared" si="0"/>
        <v>242.15307099999998</v>
      </c>
      <c r="J14" s="30">
        <f>IF(Called=0,"n/a",DGET(data,"Pctile50_hr8",_xlnm.Criteria)/IF(Result_type="Aggregate Impact",1,Called/1000))</f>
        <v>-0.86567099999999997</v>
      </c>
      <c r="K14" s="30">
        <f>IF(Called=0,"n/a",DGET(data,"Temp_hr8",_xlnm.Criteria))</f>
        <v>56.208300000000001</v>
      </c>
      <c r="L14" s="30">
        <f>IF(Called=0,"n/a",DGET(data,"Pctile10_hr8",_xlnm.Criteria)/IF(Result_type="Aggregate Impact",1,Called/1000))</f>
        <v>-2.0801460000000001</v>
      </c>
      <c r="M14" s="30">
        <f>IF(Called=0,"n/a",DGET(data,"Pctile30_hr8",_xlnm.Criteria)/IF(Result_type="Aggregate Impact",1,Called/1000))</f>
        <v>-1.362625</v>
      </c>
      <c r="N14" s="30">
        <f t="shared" si="1"/>
        <v>-0.86567099999999997</v>
      </c>
      <c r="O14" s="30">
        <f>IF(Called=0,"n/a",DGET(data,"Pctile70_hr8",_xlnm.Criteria)/IF(Result_type="Aggregate Impact",1,Called/1000))</f>
        <v>-0.36871749999999998</v>
      </c>
      <c r="P14" s="30">
        <f>IF(Called=0,"n/a",DGET(data,"Pctile90_hr8",_xlnm.Criteria)/IF(Result_type="Aggregate Impact",1,Called/1000))</f>
        <v>0.34880440000000001</v>
      </c>
    </row>
    <row r="15" spans="1:19" ht="17.25" customHeight="1" x14ac:dyDescent="0.4">
      <c r="C15" s="58"/>
      <c r="D15" s="58"/>
      <c r="E15" s="58"/>
      <c r="F15" s="58"/>
      <c r="G15" s="20">
        <v>9</v>
      </c>
      <c r="H15" s="30">
        <f>IF(Called=0,"n/a",DGET(data,"Ref_hr9",_xlnm.Criteria)/IF(Result_type="Aggregate Impact",1,Called/1000))</f>
        <v>241.86160000000001</v>
      </c>
      <c r="I15" s="30">
        <f t="shared" si="0"/>
        <v>243.96402700000002</v>
      </c>
      <c r="J15" s="30">
        <f>IF(Called=0,"n/a",DGET(data,"Pctile50_hr9",_xlnm.Criteria)/IF(Result_type="Aggregate Impact",1,Called/1000))</f>
        <v>-2.102427</v>
      </c>
      <c r="K15" s="30">
        <f>IF(Called=0,"n/a",DGET(data,"Temp_hr9",_xlnm.Criteria))</f>
        <v>62.889560000000003</v>
      </c>
      <c r="L15" s="30">
        <f>IF(Called=0,"n/a",DGET(data,"Pctile10_hr9",_xlnm.Criteria)/IF(Result_type="Aggregate Impact",1,Called/1000))</f>
        <v>-3.3425180000000001</v>
      </c>
      <c r="M15" s="30">
        <f>IF(Called=0,"n/a",DGET(data,"Pctile30_hr9",_xlnm.Criteria)/IF(Result_type="Aggregate Impact",1,Called/1000))</f>
        <v>-2.6098620000000001</v>
      </c>
      <c r="N15" s="30">
        <f t="shared" si="1"/>
        <v>-2.102427</v>
      </c>
      <c r="O15" s="30">
        <f>IF(Called=0,"n/a",DGET(data,"Pctile70_hr9",_xlnm.Criteria)/IF(Result_type="Aggregate Impact",1,Called/1000))</f>
        <v>-1.594991</v>
      </c>
      <c r="P15" s="30">
        <f>IF(Called=0,"n/a",DGET(data,"Pctile90_hr9",_xlnm.Criteria)/IF(Result_type="Aggregate Impact",1,Called/1000))</f>
        <v>-0.86233479999999996</v>
      </c>
    </row>
    <row r="16" spans="1:19" ht="17.25" customHeight="1" x14ac:dyDescent="0.4">
      <c r="C16" s="58"/>
      <c r="D16" s="58"/>
      <c r="E16" s="58"/>
      <c r="F16" s="58"/>
      <c r="G16" s="20">
        <v>10</v>
      </c>
      <c r="H16" s="30">
        <f>IF(Called=0,"n/a",DGET(data,"Ref_hr10",_xlnm.Criteria)/IF(Result_type="Aggregate Impact",1,Called/1000))</f>
        <v>240.7405</v>
      </c>
      <c r="I16" s="30">
        <f t="shared" si="0"/>
        <v>241.0988428</v>
      </c>
      <c r="J16" s="30">
        <f>IF(Called=0,"n/a",DGET(data,"Pctile50_hr10",_xlnm.Criteria)/IF(Result_type="Aggregate Impact",1,Called/1000))</f>
        <v>-0.35834280000000002</v>
      </c>
      <c r="K16" s="30">
        <f>IF(Called=0,"n/a",DGET(data,"Temp_hr10",_xlnm.Criteria))</f>
        <v>69.123530000000002</v>
      </c>
      <c r="L16" s="30">
        <f>IF(Called=0,"n/a",DGET(data,"Pctile10_hr10",_xlnm.Criteria)/IF(Result_type="Aggregate Impact",1,Called/1000))</f>
        <v>-1.703379</v>
      </c>
      <c r="M16" s="30">
        <f>IF(Called=0,"n/a",DGET(data,"Pctile30_hr10",_xlnm.Criteria)/IF(Result_type="Aggregate Impact",1,Called/1000))</f>
        <v>-0.90872059999999999</v>
      </c>
      <c r="N16" s="30">
        <f t="shared" si="1"/>
        <v>-0.35834280000000002</v>
      </c>
      <c r="O16" s="30">
        <f>IF(Called=0,"n/a",DGET(data,"Pctile70_hr10",_xlnm.Criteria)/IF(Result_type="Aggregate Impact",1,Called/1000))</f>
        <v>0.19203490000000001</v>
      </c>
      <c r="P16" s="30">
        <f>IF(Called=0,"n/a",DGET(data,"Pctile90_hr10",_xlnm.Criteria)/IF(Result_type="Aggregate Impact",1,Called/1000))</f>
        <v>0.98669300000000004</v>
      </c>
    </row>
    <row r="17" spans="3:25" ht="17.25" customHeight="1" x14ac:dyDescent="0.4">
      <c r="C17" s="58"/>
      <c r="D17" s="58"/>
      <c r="E17" s="58"/>
      <c r="F17" s="58"/>
      <c r="G17" s="20">
        <v>11</v>
      </c>
      <c r="H17" s="30">
        <f>IF(Called=0,"n/a",DGET(data,"Ref_hr11",_xlnm.Criteria)/IF(Result_type="Aggregate Impact",1,Called/1000))</f>
        <v>241.07679999999999</v>
      </c>
      <c r="I17" s="30">
        <f t="shared" si="0"/>
        <v>242.32235499999999</v>
      </c>
      <c r="J17" s="30">
        <f>IF(Called=0,"n/a",DGET(data,"Pctile50_hr11",_xlnm.Criteria)/IF(Result_type="Aggregate Impact",1,Called/1000))</f>
        <v>-1.245555</v>
      </c>
      <c r="K17" s="30">
        <f>IF(Called=0,"n/a",DGET(data,"Temp_hr11",_xlnm.Criteria))</f>
        <v>73.483590000000007</v>
      </c>
      <c r="L17" s="30">
        <f>IF(Called=0,"n/a",DGET(data,"Pctile10_hr11",_xlnm.Criteria)/IF(Result_type="Aggregate Impact",1,Called/1000))</f>
        <v>-2.8072900000000001</v>
      </c>
      <c r="M17" s="30">
        <f>IF(Called=0,"n/a",DGET(data,"Pctile30_hr11",_xlnm.Criteria)/IF(Result_type="Aggregate Impact",1,Called/1000))</f>
        <v>-1.8846039999999999</v>
      </c>
      <c r="N17" s="30">
        <f t="shared" si="1"/>
        <v>-1.245555</v>
      </c>
      <c r="O17" s="30">
        <f>IF(Called=0,"n/a",DGET(data,"Pctile70_hr11",_xlnm.Criteria)/IF(Result_type="Aggregate Impact",1,Called/1000))</f>
        <v>-0.60650530000000002</v>
      </c>
      <c r="P17" s="30">
        <f>IF(Called=0,"n/a",DGET(data,"Pctile90_hr11",_xlnm.Criteria)/IF(Result_type="Aggregate Impact",1,Called/1000))</f>
        <v>0.31618079999999998</v>
      </c>
      <c r="U17" s="71"/>
      <c r="V17" s="71"/>
      <c r="W17" s="71"/>
      <c r="X17" s="71"/>
      <c r="Y17" s="71"/>
    </row>
    <row r="18" spans="3:25" ht="17.25" customHeight="1" x14ac:dyDescent="0.4">
      <c r="C18" s="58"/>
      <c r="D18" s="58"/>
      <c r="E18" s="58"/>
      <c r="F18" s="58"/>
      <c r="G18" s="20">
        <v>12</v>
      </c>
      <c r="H18" s="30">
        <f>IF(Called=0,"n/a",DGET(data,"Ref_hr12",_xlnm.Criteria)/IF(Result_type="Aggregate Impact",1,Called/1000))</f>
        <v>241.87090000000001</v>
      </c>
      <c r="I18" s="30">
        <f t="shared" si="0"/>
        <v>242.33936110000002</v>
      </c>
      <c r="J18" s="30">
        <f>IF(Called=0,"n/a",DGET(data,"Pctile50_hr12",_xlnm.Criteria)/IF(Result_type="Aggregate Impact",1,Called/1000))</f>
        <v>-0.46846110000000002</v>
      </c>
      <c r="K18" s="30">
        <f>IF(Called=0,"n/a",DGET(data,"Temp_hr12",_xlnm.Criteria))</f>
        <v>76.924440000000004</v>
      </c>
      <c r="L18" s="30">
        <f>IF(Called=0,"n/a",DGET(data,"Pctile10_hr12",_xlnm.Criteria)/IF(Result_type="Aggregate Impact",1,Called/1000))</f>
        <v>-2.1638890000000002</v>
      </c>
      <c r="M18" s="30">
        <f>IF(Called=0,"n/a",DGET(data,"Pctile30_hr12",_xlnm.Criteria)/IF(Result_type="Aggregate Impact",1,Called/1000))</f>
        <v>-1.1622170000000001</v>
      </c>
      <c r="N18" s="30">
        <f t="shared" si="1"/>
        <v>-0.46846110000000002</v>
      </c>
      <c r="O18" s="30">
        <f>IF(Called=0,"n/a",DGET(data,"Pctile70_hr12",_xlnm.Criteria)/IF(Result_type="Aggregate Impact",1,Called/1000))</f>
        <v>0.22529440000000001</v>
      </c>
      <c r="P18" s="30">
        <f>IF(Called=0,"n/a",DGET(data,"Pctile90_hr12",_xlnm.Criteria)/IF(Result_type="Aggregate Impact",1,Called/1000))</f>
        <v>1.2269669999999999</v>
      </c>
      <c r="U18" s="71"/>
      <c r="V18" s="71"/>
      <c r="W18" s="71"/>
      <c r="X18" s="71"/>
      <c r="Y18" s="71"/>
    </row>
    <row r="19" spans="3:25" ht="17.25" customHeight="1" x14ac:dyDescent="0.4">
      <c r="C19" s="58"/>
      <c r="D19" s="58"/>
      <c r="E19" s="58"/>
      <c r="F19" s="58"/>
      <c r="G19" s="20">
        <v>13</v>
      </c>
      <c r="H19" s="30">
        <f>IF(Called=0,"n/a",DGET(data,"Ref_hr13",_xlnm.Criteria)/IF(Result_type="Aggregate Impact",1,Called/1000))</f>
        <v>242.86340000000001</v>
      </c>
      <c r="I19" s="30">
        <f t="shared" si="0"/>
        <v>240.84135000000001</v>
      </c>
      <c r="J19" s="30">
        <f>IF(Called=0,"n/a",DGET(data,"Pctile50_hr13",_xlnm.Criteria)/IF(Result_type="Aggregate Impact",1,Called/1000))</f>
        <v>2.0220500000000001</v>
      </c>
      <c r="K19" s="30">
        <f>IF(Called=0,"n/a",DGET(data,"Temp_hr13",_xlnm.Criteria))</f>
        <v>79.431079999999994</v>
      </c>
      <c r="L19" s="30">
        <f>IF(Called=0,"n/a",DGET(data,"Pctile10_hr13",_xlnm.Criteria)/IF(Result_type="Aggregate Impact",1,Called/1000))</f>
        <v>0.1446809</v>
      </c>
      <c r="M19" s="30">
        <f>IF(Called=0,"n/a",DGET(data,"Pctile30_hr13",_xlnm.Criteria)/IF(Result_type="Aggregate Impact",1,Called/1000))</f>
        <v>1.253846</v>
      </c>
      <c r="N19" s="30">
        <f t="shared" si="1"/>
        <v>2.0220500000000001</v>
      </c>
      <c r="O19" s="30">
        <f>IF(Called=0,"n/a",DGET(data,"Pctile70_hr13",_xlnm.Criteria)/IF(Result_type="Aggregate Impact",1,Called/1000))</f>
        <v>2.790254</v>
      </c>
      <c r="P19" s="30">
        <f>IF(Called=0,"n/a",DGET(data,"Pctile90_hr13",_xlnm.Criteria)/IF(Result_type="Aggregate Impact",1,Called/1000))</f>
        <v>3.899419</v>
      </c>
      <c r="U19" s="71"/>
      <c r="V19" s="71"/>
      <c r="W19" s="71"/>
      <c r="X19" s="71"/>
      <c r="Y19" s="71"/>
    </row>
    <row r="20" spans="3:25" ht="17.25" customHeight="1" x14ac:dyDescent="0.4">
      <c r="C20" s="58"/>
      <c r="D20" s="58"/>
      <c r="E20" s="58"/>
      <c r="F20" s="58"/>
      <c r="G20" s="20">
        <v>14</v>
      </c>
      <c r="H20" s="30">
        <f>IF(Called=0,"n/a",DGET(data,"Ref_hr14",_xlnm.Criteria)/IF(Result_type="Aggregate Impact",1,Called/1000))</f>
        <v>245.15969999999999</v>
      </c>
      <c r="I20" s="30">
        <f t="shared" si="0"/>
        <v>242.589777</v>
      </c>
      <c r="J20" s="30">
        <f>IF(Called=0,"n/a",DGET(data,"Pctile50_hr14",_xlnm.Criteria)/IF(Result_type="Aggregate Impact",1,Called/1000))</f>
        <v>2.5699230000000002</v>
      </c>
      <c r="K20" s="30">
        <f>IF(Called=0,"n/a",DGET(data,"Temp_hr14",_xlnm.Criteria))</f>
        <v>81.969729999999998</v>
      </c>
      <c r="L20" s="30">
        <f>IF(Called=0,"n/a",DGET(data,"Pctile10_hr14",_xlnm.Criteria)/IF(Result_type="Aggregate Impact",1,Called/1000))</f>
        <v>0.50866440000000002</v>
      </c>
      <c r="M20" s="30">
        <f>IF(Called=0,"n/a",DGET(data,"Pctile30_hr14",_xlnm.Criteria)/IF(Result_type="Aggregate Impact",1,Called/1000))</f>
        <v>1.7264729999999999</v>
      </c>
      <c r="N20" s="30">
        <f t="shared" si="1"/>
        <v>2.5699230000000002</v>
      </c>
      <c r="O20" s="30">
        <f>IF(Called=0,"n/a",DGET(data,"Pctile70_hr14",_xlnm.Criteria)/IF(Result_type="Aggregate Impact",1,Called/1000))</f>
        <v>3.4133740000000001</v>
      </c>
      <c r="P20" s="30">
        <f>IF(Called=0,"n/a",DGET(data,"Pctile90_hr14",_xlnm.Criteria)/IF(Result_type="Aggregate Impact",1,Called/1000))</f>
        <v>4.6311819999999999</v>
      </c>
      <c r="U20" s="71"/>
      <c r="V20" s="71"/>
      <c r="W20" s="71"/>
      <c r="X20" s="71"/>
      <c r="Y20" s="71"/>
    </row>
    <row r="21" spans="3:25" ht="17.25" customHeight="1" x14ac:dyDescent="0.4">
      <c r="C21" s="58"/>
      <c r="D21" s="58"/>
      <c r="E21" s="58"/>
      <c r="F21" s="58"/>
      <c r="G21" s="20">
        <v>15</v>
      </c>
      <c r="H21" s="30">
        <f>IF(Called=0,"n/a",DGET(data,"Ref_hr15",_xlnm.Criteria)/IF(Result_type="Aggregate Impact",1,Called/1000))</f>
        <v>244.79419999999999</v>
      </c>
      <c r="I21" s="30">
        <f t="shared" si="0"/>
        <v>244.0413796</v>
      </c>
      <c r="J21" s="30">
        <f>IF(Called=0,"n/a",DGET(data,"Pctile50_hr15",_xlnm.Criteria)/IF(Result_type="Aggregate Impact",1,Called/1000))</f>
        <v>0.75282039999999995</v>
      </c>
      <c r="K21" s="30">
        <f>IF(Called=0,"n/a",DGET(data,"Temp_hr15",_xlnm.Criteria))</f>
        <v>83.751339999999999</v>
      </c>
      <c r="L21" s="30">
        <f>IF(Called=0,"n/a",DGET(data,"Pctile10_hr15",_xlnm.Criteria)/IF(Result_type="Aggregate Impact",1,Called/1000))</f>
        <v>-1.2964249999999999</v>
      </c>
      <c r="M21" s="30">
        <f>IF(Called=0,"n/a",DGET(data,"Pctile30_hr15",_xlnm.Criteria)/IF(Result_type="Aggregate Impact",1,Called/1000))</f>
        <v>-8.5714399999999996E-2</v>
      </c>
      <c r="N21" s="30">
        <f t="shared" si="1"/>
        <v>0.75282039999999995</v>
      </c>
      <c r="O21" s="30">
        <f>IF(Called=0,"n/a",DGET(data,"Pctile70_hr15",_xlnm.Criteria)/IF(Result_type="Aggregate Impact",1,Called/1000))</f>
        <v>1.5913550000000001</v>
      </c>
      <c r="P21" s="30">
        <f>IF(Called=0,"n/a",DGET(data,"Pctile90_hr15",_xlnm.Criteria)/IF(Result_type="Aggregate Impact",1,Called/1000))</f>
        <v>2.8020659999999999</v>
      </c>
      <c r="U21" s="71"/>
      <c r="V21" s="71"/>
      <c r="W21" s="71"/>
      <c r="X21" s="71"/>
      <c r="Y21" s="71"/>
    </row>
    <row r="22" spans="3:25" ht="17.25" customHeight="1" x14ac:dyDescent="0.4">
      <c r="C22" s="58"/>
      <c r="D22" s="58"/>
      <c r="E22" s="58"/>
      <c r="F22" s="58"/>
      <c r="G22" s="20">
        <v>16</v>
      </c>
      <c r="H22" s="30">
        <f>IF(Called=0,"n/a",DGET(data,"Ref_hr16",_xlnm.Criteria)/IF(Result_type="Aggregate Impact",1,Called/1000))</f>
        <v>245.5626</v>
      </c>
      <c r="I22" s="30">
        <f t="shared" si="0"/>
        <v>245.74706879999999</v>
      </c>
      <c r="J22" s="30">
        <f>IF(Called=0,"n/a",DGET(data,"Pctile50_hr16",_xlnm.Criteria)/IF(Result_type="Aggregate Impact",1,Called/1000))</f>
        <v>-0.18446879999999999</v>
      </c>
      <c r="K22" s="30">
        <f>IF(Called=0,"n/a",DGET(data,"Temp_hr16",_xlnm.Criteria))</f>
        <v>84.709879999999998</v>
      </c>
      <c r="L22" s="30">
        <f>IF(Called=0,"n/a",DGET(data,"Pctile10_hr16",_xlnm.Criteria)/IF(Result_type="Aggregate Impact",1,Called/1000))</f>
        <v>-2.4143539999999999</v>
      </c>
      <c r="M22" s="30">
        <f>IF(Called=0,"n/a",DGET(data,"Pctile30_hr16",_xlnm.Criteria)/IF(Result_type="Aggregate Impact",1,Called/1000))</f>
        <v>-1.0969199999999999</v>
      </c>
      <c r="N22" s="30">
        <f t="shared" si="1"/>
        <v>-0.18446879999999999</v>
      </c>
      <c r="O22" s="30">
        <f>IF(Called=0,"n/a",DGET(data,"Pctile70_hr16",_xlnm.Criteria)/IF(Result_type="Aggregate Impact",1,Called/1000))</f>
        <v>0.72798220000000002</v>
      </c>
      <c r="P22" s="30">
        <f>IF(Called=0,"n/a",DGET(data,"Pctile90_hr16",_xlnm.Criteria)/IF(Result_type="Aggregate Impact",1,Called/1000))</f>
        <v>2.045417</v>
      </c>
      <c r="U22" s="71"/>
      <c r="V22" s="71"/>
      <c r="W22" s="71"/>
      <c r="X22" s="71"/>
      <c r="Y22" s="71"/>
    </row>
    <row r="23" spans="3:25" ht="17.25" customHeight="1" x14ac:dyDescent="0.4">
      <c r="C23" s="58"/>
      <c r="D23" s="58"/>
      <c r="E23" s="58"/>
      <c r="F23" s="58"/>
      <c r="G23" s="20">
        <v>17</v>
      </c>
      <c r="H23" s="30">
        <f>IF(Called=0,"n/a",DGET(data,"Ref_hr17",_xlnm.Criteria)/IF(Result_type="Aggregate Impact",1,Called/1000))</f>
        <v>246.95699999999999</v>
      </c>
      <c r="I23" s="30">
        <f t="shared" si="0"/>
        <v>208.64326</v>
      </c>
      <c r="J23" s="30">
        <f>IF(Called=0,"n/a",DGET(data,"Pctile50_hr17",_xlnm.Criteria)/IF(Result_type="Aggregate Impact",1,Called/1000))</f>
        <v>38.313740000000003</v>
      </c>
      <c r="K23" s="30">
        <f>IF(Called=0,"n/a",DGET(data,"Temp_hr17",_xlnm.Criteria))</f>
        <v>84.916210000000007</v>
      </c>
      <c r="L23" s="30">
        <f>IF(Called=0,"n/a",DGET(data,"Pctile10_hr17",_xlnm.Criteria)/IF(Result_type="Aggregate Impact",1,Called/1000))</f>
        <v>35.787399999999998</v>
      </c>
      <c r="M23" s="30">
        <f>IF(Called=0,"n/a",DGET(data,"Pctile30_hr17",_xlnm.Criteria)/IF(Result_type="Aggregate Impact",1,Called/1000))</f>
        <v>37.279980000000002</v>
      </c>
      <c r="N23" s="30">
        <f t="shared" si="1"/>
        <v>38.313740000000003</v>
      </c>
      <c r="O23" s="30">
        <f>IF(Called=0,"n/a",DGET(data,"Pctile70_hr17",_xlnm.Criteria)/IF(Result_type="Aggregate Impact",1,Called/1000))</f>
        <v>39.347490000000001</v>
      </c>
      <c r="P23" s="30">
        <f>IF(Called=0,"n/a",DGET(data,"Pctile90_hr17",_xlnm.Criteria)/IF(Result_type="Aggregate Impact",1,Called/1000))</f>
        <v>40.840069999999997</v>
      </c>
      <c r="U23" s="71"/>
      <c r="V23" s="71"/>
      <c r="W23" s="71"/>
      <c r="X23" s="71"/>
      <c r="Y23" s="71"/>
    </row>
    <row r="24" spans="3:25" ht="17.25" customHeight="1" x14ac:dyDescent="0.4">
      <c r="C24" s="58"/>
      <c r="D24" s="58"/>
      <c r="E24" s="58"/>
      <c r="F24" s="58"/>
      <c r="G24" s="20">
        <v>18</v>
      </c>
      <c r="H24" s="30">
        <f>IF(Called=0,"n/a",DGET(data,"Ref_hr18",_xlnm.Criteria)/IF(Result_type="Aggregate Impact",1,Called/1000))</f>
        <v>249.9152</v>
      </c>
      <c r="I24" s="30">
        <f t="shared" si="0"/>
        <v>80.354800000000012</v>
      </c>
      <c r="J24" s="30">
        <f>IF(Called=0,"n/a",DGET(data,"Pctile50_hr18",_xlnm.Criteria)/IF(Result_type="Aggregate Impact",1,Called/1000))</f>
        <v>169.56039999999999</v>
      </c>
      <c r="K24" s="30">
        <f>IF(Called=0,"n/a",DGET(data,"Temp_hr18",_xlnm.Criteria))</f>
        <v>83.442499999999995</v>
      </c>
      <c r="L24" s="30">
        <f>IF(Called=0,"n/a",DGET(data,"Pctile10_hr18",_xlnm.Criteria)/IF(Result_type="Aggregate Impact",1,Called/1000))</f>
        <v>166.27420000000001</v>
      </c>
      <c r="M24" s="30">
        <f>IF(Called=0,"n/a",DGET(data,"Pctile30_hr18",_xlnm.Criteria)/IF(Result_type="Aggregate Impact",1,Called/1000))</f>
        <v>168.2157</v>
      </c>
      <c r="N24" s="30">
        <f t="shared" si="1"/>
        <v>169.56039999999999</v>
      </c>
      <c r="O24" s="30">
        <f>IF(Called=0,"n/a",DGET(data,"Pctile70_hr18",_xlnm.Criteria)/IF(Result_type="Aggregate Impact",1,Called/1000))</f>
        <v>170.90520000000001</v>
      </c>
      <c r="P24" s="30">
        <f>IF(Called=0,"n/a",DGET(data,"Pctile90_hr18",_xlnm.Criteria)/IF(Result_type="Aggregate Impact",1,Called/1000))</f>
        <v>172.8467</v>
      </c>
      <c r="U24" s="71"/>
      <c r="V24" s="71"/>
      <c r="W24" s="71"/>
      <c r="X24" s="71"/>
      <c r="Y24" s="71"/>
    </row>
    <row r="25" spans="3:25" ht="17.25" customHeight="1" x14ac:dyDescent="0.4">
      <c r="C25" s="58"/>
      <c r="D25" s="58"/>
      <c r="E25" s="58"/>
      <c r="F25" s="58"/>
      <c r="G25" s="20">
        <v>19</v>
      </c>
      <c r="H25" s="30">
        <f>IF(Called=0,"n/a",DGET(data,"Ref_hr19",_xlnm.Criteria)/IF(Result_type="Aggregate Impact",1,Called/1000))</f>
        <v>253.4855</v>
      </c>
      <c r="I25" s="30">
        <f t="shared" si="0"/>
        <v>77.74199999999999</v>
      </c>
      <c r="J25" s="30">
        <f>IF(Called=0,"n/a",DGET(data,"Pctile50_hr19",_xlnm.Criteria)/IF(Result_type="Aggregate Impact",1,Called/1000))</f>
        <v>175.74350000000001</v>
      </c>
      <c r="K25" s="30">
        <f>IF(Called=0,"n/a",DGET(data,"Temp_hr19",_xlnm.Criteria))</f>
        <v>78.924639999999997</v>
      </c>
      <c r="L25" s="30">
        <f>IF(Called=0,"n/a",DGET(data,"Pctile10_hr19",_xlnm.Criteria)/IF(Result_type="Aggregate Impact",1,Called/1000))</f>
        <v>172.29089999999999</v>
      </c>
      <c r="M25" s="30">
        <f>IF(Called=0,"n/a",DGET(data,"Pctile30_hr19",_xlnm.Criteria)/IF(Result_type="Aggregate Impact",1,Called/1000))</f>
        <v>174.33070000000001</v>
      </c>
      <c r="N25" s="30">
        <f t="shared" si="1"/>
        <v>175.74350000000001</v>
      </c>
      <c r="O25" s="30">
        <f>IF(Called=0,"n/a",DGET(data,"Pctile70_hr19",_xlnm.Criteria)/IF(Result_type="Aggregate Impact",1,Called/1000))</f>
        <v>177.15629999999999</v>
      </c>
      <c r="P25" s="30">
        <f>IF(Called=0,"n/a",DGET(data,"Pctile90_hr19",_xlnm.Criteria)/IF(Result_type="Aggregate Impact",1,Called/1000))</f>
        <v>179.1962</v>
      </c>
      <c r="U25" s="71"/>
      <c r="V25" s="71"/>
      <c r="W25" s="71"/>
      <c r="X25" s="71"/>
      <c r="Y25" s="71"/>
    </row>
    <row r="26" spans="3:25" ht="17.25" customHeight="1" x14ac:dyDescent="0.4">
      <c r="C26" s="58"/>
      <c r="D26" s="58"/>
      <c r="E26" s="58"/>
      <c r="F26" s="58"/>
      <c r="G26" s="20">
        <v>20</v>
      </c>
      <c r="H26" s="30">
        <f>IF(Called=0,"n/a",DGET(data,"Ref_hr20",_xlnm.Criteria)/IF(Result_type="Aggregate Impact",1,Called/1000))</f>
        <v>255.14570000000001</v>
      </c>
      <c r="I26" s="30">
        <f t="shared" si="0"/>
        <v>134.42520000000002</v>
      </c>
      <c r="J26" s="30">
        <f>IF(Called=0,"n/a",DGET(data,"Pctile50_hr20",_xlnm.Criteria)/IF(Result_type="Aggregate Impact",1,Called/1000))</f>
        <v>120.7205</v>
      </c>
      <c r="K26" s="30">
        <f>IF(Called=0,"n/a",DGET(data,"Temp_hr20",_xlnm.Criteria))</f>
        <v>75.060069999999996</v>
      </c>
      <c r="L26" s="30">
        <f>IF(Called=0,"n/a",DGET(data,"Pctile10_hr20",_xlnm.Criteria)/IF(Result_type="Aggregate Impact",1,Called/1000))</f>
        <v>117.36539999999999</v>
      </c>
      <c r="M26" s="30">
        <f>IF(Called=0,"n/a",DGET(data,"Pctile30_hr20",_xlnm.Criteria)/IF(Result_type="Aggregate Impact",1,Called/1000))</f>
        <v>119.3476</v>
      </c>
      <c r="N26" s="30">
        <f t="shared" si="1"/>
        <v>120.7205</v>
      </c>
      <c r="O26" s="30">
        <f>IF(Called=0,"n/a",DGET(data,"Pctile70_hr20",_xlnm.Criteria)/IF(Result_type="Aggregate Impact",1,Called/1000))</f>
        <v>122.0933</v>
      </c>
      <c r="P26" s="30">
        <f>IF(Called=0,"n/a",DGET(data,"Pctile90_hr20",_xlnm.Criteria)/IF(Result_type="Aggregate Impact",1,Called/1000))</f>
        <v>124.07550000000001</v>
      </c>
      <c r="U26" s="71"/>
      <c r="V26" s="71"/>
      <c r="W26" s="71"/>
      <c r="X26" s="71"/>
      <c r="Y26" s="71"/>
    </row>
    <row r="27" spans="3:25" ht="17.25" customHeight="1" x14ac:dyDescent="0.4">
      <c r="C27" s="58"/>
      <c r="D27" s="58"/>
      <c r="E27" s="58"/>
      <c r="F27" s="58"/>
      <c r="G27" s="20">
        <v>21</v>
      </c>
      <c r="H27" s="30">
        <f>IF(Called=0,"n/a",DGET(data,"Ref_hr21",_xlnm.Criteria)/IF(Result_type="Aggregate Impact",1,Called/1000))</f>
        <v>253.74690000000001</v>
      </c>
      <c r="I27" s="30">
        <f t="shared" si="0"/>
        <v>175.41019</v>
      </c>
      <c r="J27" s="30">
        <f>IF(Called=0,"n/a",DGET(data,"Pctile50_hr21",_xlnm.Criteria)/IF(Result_type="Aggregate Impact",1,Called/1000))</f>
        <v>78.336709999999997</v>
      </c>
      <c r="K27" s="30">
        <f>IF(Called=0,"n/a",DGET(data,"Temp_hr21",_xlnm.Criteria))</f>
        <v>71.050430000000006</v>
      </c>
      <c r="L27" s="30">
        <f>IF(Called=0,"n/a",DGET(data,"Pctile10_hr21",_xlnm.Criteria)/IF(Result_type="Aggregate Impact",1,Called/1000))</f>
        <v>75.012969999999996</v>
      </c>
      <c r="M27" s="30">
        <f>IF(Called=0,"n/a",DGET(data,"Pctile30_hr21",_xlnm.Criteria)/IF(Result_type="Aggregate Impact",1,Called/1000))</f>
        <v>76.976659999999995</v>
      </c>
      <c r="N27" s="30">
        <f t="shared" si="1"/>
        <v>78.336709999999997</v>
      </c>
      <c r="O27" s="30">
        <f>IF(Called=0,"n/a",DGET(data,"Pctile70_hr21",_xlnm.Criteria)/IF(Result_type="Aggregate Impact",1,Called/1000))</f>
        <v>79.696749999999994</v>
      </c>
      <c r="P27" s="30">
        <f>IF(Called=0,"n/a",DGET(data,"Pctile90_hr21",_xlnm.Criteria)/IF(Result_type="Aggregate Impact",1,Called/1000))</f>
        <v>81.660449999999997</v>
      </c>
      <c r="U27" s="71"/>
      <c r="V27" s="71"/>
      <c r="W27" s="71"/>
      <c r="X27" s="71"/>
      <c r="Y27" s="71"/>
    </row>
    <row r="28" spans="3:25" ht="17.25" customHeight="1" x14ac:dyDescent="0.4">
      <c r="C28" s="58"/>
      <c r="D28" s="58"/>
      <c r="E28" s="58"/>
      <c r="F28" s="58"/>
      <c r="G28" s="20">
        <v>22</v>
      </c>
      <c r="H28" s="30">
        <f>IF(Called=0,"n/a",DGET(data,"Ref_hr22",_xlnm.Criteria)/IF(Result_type="Aggregate Impact",1,Called/1000))</f>
        <v>254.44739999999999</v>
      </c>
      <c r="I28" s="30">
        <f t="shared" si="0"/>
        <v>189.23397999999997</v>
      </c>
      <c r="J28" s="30">
        <f>IF(Called=0,"n/a",DGET(data,"Pctile50_hr22",_xlnm.Criteria)/IF(Result_type="Aggregate Impact",1,Called/1000))</f>
        <v>65.213419999999999</v>
      </c>
      <c r="K28" s="30">
        <f>IF(Called=0,"n/a",DGET(data,"Temp_hr22",_xlnm.Criteria))</f>
        <v>68.7376</v>
      </c>
      <c r="L28" s="30">
        <f>IF(Called=0,"n/a",DGET(data,"Pctile10_hr22",_xlnm.Criteria)/IF(Result_type="Aggregate Impact",1,Called/1000))</f>
        <v>61.91751</v>
      </c>
      <c r="M28" s="30">
        <f>IF(Called=0,"n/a",DGET(data,"Pctile30_hr22",_xlnm.Criteria)/IF(Result_type="Aggregate Impact",1,Called/1000))</f>
        <v>63.86477</v>
      </c>
      <c r="N28" s="30">
        <f t="shared" si="1"/>
        <v>65.213419999999999</v>
      </c>
      <c r="O28" s="30">
        <f>IF(Called=0,"n/a",DGET(data,"Pctile70_hr22",_xlnm.Criteria)/IF(Result_type="Aggregate Impact",1,Called/1000))</f>
        <v>66.562079999999995</v>
      </c>
      <c r="P28" s="30">
        <f>IF(Called=0,"n/a",DGET(data,"Pctile90_hr22",_xlnm.Criteria)/IF(Result_type="Aggregate Impact",1,Called/1000))</f>
        <v>68.509330000000006</v>
      </c>
      <c r="T28" s="72"/>
    </row>
    <row r="29" spans="3:25" ht="17.25" customHeight="1" x14ac:dyDescent="0.4">
      <c r="C29" s="58"/>
      <c r="D29" s="58"/>
      <c r="E29" s="58"/>
      <c r="F29" s="58"/>
      <c r="G29" s="20">
        <v>23</v>
      </c>
      <c r="H29" s="30">
        <f>IF(Called=0,"n/a",DGET(data,"Ref_hr23",_xlnm.Criteria)/IF(Result_type="Aggregate Impact",1,Called/1000))</f>
        <v>255.4641</v>
      </c>
      <c r="I29" s="30">
        <f t="shared" si="0"/>
        <v>195.10178000000002</v>
      </c>
      <c r="J29" s="30">
        <f>IF(Called=0,"n/a",DGET(data,"Pctile50_hr23",_xlnm.Criteria)/IF(Result_type="Aggregate Impact",1,Called/1000))</f>
        <v>60.362319999999997</v>
      </c>
      <c r="K29" s="30">
        <f>IF(Called=0,"n/a",DGET(data,"Temp_hr23",_xlnm.Criteria))</f>
        <v>66.518739999999994</v>
      </c>
      <c r="L29" s="30">
        <f>IF(Called=0,"n/a",DGET(data,"Pctile10_hr23",_xlnm.Criteria)/IF(Result_type="Aggregate Impact",1,Called/1000))</f>
        <v>56.943910000000002</v>
      </c>
      <c r="M29" s="30">
        <f>IF(Called=0,"n/a",DGET(data,"Pctile30_hr23",_xlnm.Criteria)/IF(Result_type="Aggregate Impact",1,Called/1000))</f>
        <v>58.963529999999999</v>
      </c>
      <c r="N29" s="30">
        <f t="shared" si="1"/>
        <v>60.362319999999997</v>
      </c>
      <c r="O29" s="30">
        <f>IF(Called=0,"n/a",DGET(data,"Pctile70_hr23",_xlnm.Criteria)/IF(Result_type="Aggregate Impact",1,Called/1000))</f>
        <v>61.761099999999999</v>
      </c>
      <c r="P29" s="30">
        <f>IF(Called=0,"n/a",DGET(data,"Pctile90_hr23",_xlnm.Criteria)/IF(Result_type="Aggregate Impact",1,Called/1000))</f>
        <v>63.780720000000002</v>
      </c>
    </row>
    <row r="30" spans="3:25" ht="17.25" customHeight="1" x14ac:dyDescent="0.4">
      <c r="C30" s="58"/>
      <c r="D30" s="58"/>
      <c r="E30" s="58"/>
      <c r="F30" s="58"/>
      <c r="G30" s="20">
        <v>24</v>
      </c>
      <c r="H30" s="30">
        <f>IF(Called=0,"n/a",DGET(data,"Ref_hr24",_xlnm.Criteria)/IF(Result_type="Aggregate Impact",1,Called/1000))</f>
        <v>260.33519999999999</v>
      </c>
      <c r="I30" s="30">
        <f t="shared" si="0"/>
        <v>198.57943</v>
      </c>
      <c r="J30" s="30">
        <f>IF(Called=0,"n/a",DGET(data,"Pctile50_hr24",_xlnm.Criteria)/IF(Result_type="Aggregate Impact",1,Called/1000))</f>
        <v>61.755769999999998</v>
      </c>
      <c r="K30" s="30">
        <f>IF(Called=0,"n/a",DGET(data,"Temp_hr24",_xlnm.Criteria))</f>
        <v>64.706649999999996</v>
      </c>
      <c r="L30" s="30">
        <f>IF(Called=0,"n/a",DGET(data,"Pctile10_hr24",_xlnm.Criteria)/IF(Result_type="Aggregate Impact",1,Called/1000))</f>
        <v>58.101700000000001</v>
      </c>
      <c r="M30" s="30">
        <f>IF(Called=0,"n/a",DGET(data,"Pctile30_hr24",_xlnm.Criteria)/IF(Result_type="Aggregate Impact",1,Called/1000))</f>
        <v>60.260559999999998</v>
      </c>
      <c r="N30" s="30">
        <f t="shared" si="1"/>
        <v>61.755769999999998</v>
      </c>
      <c r="O30" s="30">
        <f>IF(Called=0,"n/a",DGET(data,"Pctile70_hr24",_xlnm.Criteria)/IF(Result_type="Aggregate Impact",1,Called/1000))</f>
        <v>63.250990000000002</v>
      </c>
      <c r="P30" s="30">
        <f>IF(Called=0,"n/a",DGET(data,"Pctile90_hr24",_xlnm.Criteria)/IF(Result_type="Aggregate Impact",1,Called/1000))</f>
        <v>65.409840000000003</v>
      </c>
    </row>
    <row r="31" spans="3:25" ht="49.5" customHeight="1" thickBot="1" x14ac:dyDescent="0.5">
      <c r="C31" s="58"/>
      <c r="D31" s="58"/>
      <c r="E31" s="58"/>
      <c r="F31" s="58"/>
      <c r="G31" s="51"/>
      <c r="H31" s="93" t="str">
        <f>"Estimated Reference
Energy Use
("&amp;IF(Result_type="Aggregate Impact","MWh)","kWh)")</f>
        <v>Estimated Reference
Energy Use
(MWh)</v>
      </c>
      <c r="I31" s="93" t="str">
        <f>"Observed 
Event Day Energy Use ("&amp;IF(Result_type="Aggregate Impact","MWh)","kWh)")</f>
        <v>Observed 
Event Day Energy Use (MWh)</v>
      </c>
      <c r="J31" s="93" t="str">
        <f>"Estimated 
Change in Energy Use ("&amp;IF(Result_type="Aggregate Impact","MWh)","kWh)")</f>
        <v>Estimated 
Change in Energy Use (MWh)</v>
      </c>
      <c r="K31" s="95" t="s">
        <v>200</v>
      </c>
      <c r="L31" s="52" t="str">
        <f>"Uncertainty Adjusted Impact ("&amp;IF(Result_type="Aggregate Impact","MWh/hour) - Percentiles","kWh/hour) - Percentiles")</f>
        <v>Uncertainty Adjusted Impact (MWh/hour) - Percentiles</v>
      </c>
      <c r="M31" s="52"/>
      <c r="N31" s="52"/>
      <c r="O31" s="52"/>
      <c r="P31" s="53"/>
    </row>
    <row r="32" spans="3:25" ht="14.25" customHeight="1" x14ac:dyDescent="0.45">
      <c r="C32" s="58"/>
      <c r="D32" s="58"/>
      <c r="E32" s="58"/>
      <c r="F32" s="58"/>
      <c r="G32" s="54" t="s">
        <v>221</v>
      </c>
      <c r="H32" s="94"/>
      <c r="I32" s="94"/>
      <c r="J32" s="94"/>
      <c r="K32" s="94"/>
      <c r="L32" s="55" t="s">
        <v>10</v>
      </c>
      <c r="M32" s="55" t="s">
        <v>11</v>
      </c>
      <c r="N32" s="55" t="s">
        <v>12</v>
      </c>
      <c r="O32" s="55" t="s">
        <v>13</v>
      </c>
      <c r="P32" s="56" t="s">
        <v>14</v>
      </c>
    </row>
    <row r="33" spans="1:16" ht="17.25" customHeight="1" thickBot="1" x14ac:dyDescent="0.5">
      <c r="C33" s="58"/>
      <c r="D33" s="58"/>
      <c r="E33" s="58"/>
      <c r="F33" s="58"/>
      <c r="G33" s="8" t="s">
        <v>15</v>
      </c>
      <c r="H33" s="9">
        <f>IF(Called=0,"n/a",SUM(H7:H30))</f>
        <v>5949.2736999999997</v>
      </c>
      <c r="I33" s="10">
        <f>IF(Called=0,"n/a",SUM(I7:I30))</f>
        <v>5164.3041934999992</v>
      </c>
      <c r="J33" s="10">
        <f>IF(Called=0,"n/a",SUM(J7:J30))</f>
        <v>784.96950650000008</v>
      </c>
      <c r="K33" s="11">
        <f>IF(Called=0,"n/a",SUM(Lookups!B31:B54))</f>
        <v>54.129889999999989</v>
      </c>
      <c r="L33" s="11">
        <f>IF(Called=0,"n/a",Lookups!C63)</f>
        <v>701.7486953241787</v>
      </c>
      <c r="M33" s="11">
        <f>IF(Called=0,"n/a",Lookups!D63)</f>
        <v>750.91622513239906</v>
      </c>
      <c r="N33" s="11">
        <f>IF(Called=0,"n/a",Lookups!E63)</f>
        <v>784.96950650000008</v>
      </c>
      <c r="O33" s="11">
        <f>IF(Called=0,"n/a",Lookups!F63)</f>
        <v>819.02278786760098</v>
      </c>
      <c r="P33" s="34">
        <f>IF(Called=0,"n/a",Lookups!G63)</f>
        <v>868.19031767582146</v>
      </c>
    </row>
    <row r="34" spans="1:16" ht="17.25" customHeight="1" thickBot="1" x14ac:dyDescent="0.5">
      <c r="G34" s="8" t="s">
        <v>220</v>
      </c>
      <c r="H34" s="33">
        <f>IF(Called=0,"n/a",Lookups!D55)</f>
        <v>251.70035000000001</v>
      </c>
      <c r="I34" s="11">
        <f>IF(Called=0,"n/a",Lookups!E55)</f>
        <v>79.048400000000001</v>
      </c>
      <c r="J34" s="11">
        <f>IF(Called=0,"n/a",Lookups!F55)</f>
        <v>172.65195</v>
      </c>
      <c r="K34" s="11">
        <f>IF(Called=0,"n/a",Lookups!G55)</f>
        <v>12.367139999999992</v>
      </c>
      <c r="L34" s="11">
        <f>IF(Called=0,"n/a",Lookups!C58)</f>
        <v>170.07776272942041</v>
      </c>
      <c r="M34" s="11">
        <f>IF(Called=0,"n/a",Lookups!D58)</f>
        <v>171.59861343454949</v>
      </c>
      <c r="N34" s="11">
        <f>IF(Called=0,"n/a",Lookups!E58)</f>
        <v>172.65195</v>
      </c>
      <c r="O34" s="11">
        <f>IF(Called=0,"n/a",Lookups!F58)</f>
        <v>173.70528656545048</v>
      </c>
      <c r="P34" s="11">
        <f>IF(Called=0,"n/a",Lookups!G58)</f>
        <v>175.22613727057958</v>
      </c>
    </row>
    <row r="35" spans="1:16" ht="13.7" x14ac:dyDescent="0.4">
      <c r="G35" s="73"/>
      <c r="H35" s="71"/>
      <c r="I35" s="74"/>
      <c r="J35" s="75"/>
      <c r="K35" s="71"/>
    </row>
    <row r="36" spans="1:16" x14ac:dyDescent="0.4">
      <c r="G36" s="73"/>
      <c r="H36" s="71"/>
      <c r="I36" s="71"/>
      <c r="J36" s="71"/>
      <c r="K36" s="76"/>
    </row>
    <row r="37" spans="1:16" ht="14.35" x14ac:dyDescent="0.4">
      <c r="A37" s="78" t="s">
        <v>261</v>
      </c>
      <c r="G37" s="73"/>
      <c r="H37" s="71"/>
      <c r="I37" s="71"/>
      <c r="J37" s="71"/>
      <c r="K37" s="71"/>
    </row>
    <row r="38" spans="1:16" ht="14.35" x14ac:dyDescent="0.4">
      <c r="A38" s="79" t="s">
        <v>262</v>
      </c>
      <c r="B38" s="77"/>
      <c r="C38" s="77"/>
    </row>
    <row r="39" spans="1:16" x14ac:dyDescent="0.4">
      <c r="G39" s="73"/>
      <c r="H39" s="71"/>
      <c r="I39" s="71"/>
      <c r="J39" s="71"/>
      <c r="K39" s="76"/>
    </row>
  </sheetData>
  <mergeCells count="17">
    <mergeCell ref="A1:P1"/>
    <mergeCell ref="R4:S6"/>
    <mergeCell ref="R7:R8"/>
    <mergeCell ref="S7:S8"/>
    <mergeCell ref="R11:R12"/>
    <mergeCell ref="S11:S12"/>
    <mergeCell ref="R9:R10"/>
    <mergeCell ref="S9:S10"/>
    <mergeCell ref="H31:H32"/>
    <mergeCell ref="I31:I32"/>
    <mergeCell ref="J31:J32"/>
    <mergeCell ref="K31:K32"/>
    <mergeCell ref="G4:G6"/>
    <mergeCell ref="H4:H6"/>
    <mergeCell ref="I4:I6"/>
    <mergeCell ref="J4:J6"/>
    <mergeCell ref="K4:K6"/>
  </mergeCells>
  <phoneticPr fontId="2" type="noConversion"/>
  <conditionalFormatting sqref="A2:E2">
    <cfRule type="expression" dxfId="9" priority="36">
      <formula>size_lca_flag=1</formula>
    </cfRule>
    <cfRule type="expression" dxfId="8" priority="47" stopIfTrue="1">
      <formula>$A$2&lt;&gt;""</formula>
    </cfRule>
  </conditionalFormatting>
  <conditionalFormatting sqref="H7:P30 H33:P34 E8:E12">
    <cfRule type="expression" dxfId="7" priority="1">
      <formula>pass=0</formula>
    </cfRule>
  </conditionalFormatting>
  <conditionalFormatting sqref="G13:P13 G16:P16">
    <cfRule type="expression" dxfId="6" priority="2">
      <formula>partial=1</formula>
    </cfRule>
  </conditionalFormatting>
  <dataValidations count="5">
    <dataValidation type="list" allowBlank="1" showInputMessage="1" showErrorMessage="1" sqref="B6" xr:uid="{00000000-0002-0000-0000-000000000000}">
      <formula1>lca_list</formula1>
    </dataValidation>
    <dataValidation type="list" allowBlank="1" showInputMessage="1" showErrorMessage="1" sqref="B5" xr:uid="{00000000-0002-0000-0000-000001000000}">
      <formula1>date_list</formula1>
    </dataValidation>
    <dataValidation type="list" allowBlank="1" showInputMessage="1" showErrorMessage="1" sqref="B4" xr:uid="{00000000-0002-0000-0000-000002000000}">
      <formula1>Result_type_list</formula1>
    </dataValidation>
    <dataValidation type="list" allowBlank="1" showInputMessage="1" showErrorMessage="1" sqref="B7" xr:uid="{00000000-0002-0000-0000-000003000000}">
      <formula1>Size_list</formula1>
    </dataValidation>
    <dataValidation type="list" allowBlank="1" showInputMessage="1" showErrorMessage="1" sqref="B10" xr:uid="{00000000-0002-0000-0000-000004000000}">
      <formula1>notice_list</formula1>
    </dataValidation>
  </dataValidations>
  <pageMargins left="0.75" right="0.75" top="1" bottom="1" header="0.5" footer="0.5"/>
  <pageSetup scale="54" orientation="landscape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6" id="{E609E01C-C478-4F14-A9A0-A2F09152C0BA}">
            <xm:f>AND($G7&gt;=VLOOKUP(date,Lookups!$B$11:$D$24,3,FALSE),$G7&lt;=VLOOKUP(date,Lookups!$B$11:$E$24,4,FALSE))</xm:f>
            <x14:dxf>
              <fill>
                <patternFill>
                  <bgColor theme="3" tint="0.79998168889431442"/>
                </patternFill>
              </fill>
            </x14:dxf>
          </x14:cfRule>
          <xm:sqref>G7:P30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69"/>
  <sheetViews>
    <sheetView workbookViewId="0">
      <selection activeCell="C25" sqref="C25"/>
    </sheetView>
  </sheetViews>
  <sheetFormatPr defaultRowHeight="12.7" x14ac:dyDescent="0.4"/>
  <cols>
    <col min="1" max="1" width="16.8203125" customWidth="1"/>
    <col min="2" max="2" width="9.703125" bestFit="1" customWidth="1"/>
    <col min="3" max="3" width="24.17578125" bestFit="1" customWidth="1"/>
    <col min="4" max="4" width="17.17578125" bestFit="1" customWidth="1"/>
    <col min="5" max="5" width="9.5859375" bestFit="1" customWidth="1"/>
    <col min="6" max="6" width="8.8203125" bestFit="1" customWidth="1"/>
    <col min="7" max="7" width="5.5859375" bestFit="1" customWidth="1"/>
    <col min="8" max="8" width="10.8203125" bestFit="1" customWidth="1"/>
    <col min="10" max="10" width="25.5859375" bestFit="1" customWidth="1"/>
    <col min="11" max="11" width="16" bestFit="1" customWidth="1"/>
    <col min="12" max="12" width="31" bestFit="1" customWidth="1"/>
    <col min="13" max="13" width="15.5859375" bestFit="1" customWidth="1"/>
    <col min="14" max="14" width="16.3515625" bestFit="1" customWidth="1"/>
    <col min="15" max="15" width="13.3515625" bestFit="1" customWidth="1"/>
  </cols>
  <sheetData>
    <row r="1" spans="1:19" x14ac:dyDescent="0.4">
      <c r="G1" s="1"/>
      <c r="H1" s="1"/>
    </row>
    <row r="3" spans="1:19" ht="14.35" x14ac:dyDescent="0.5">
      <c r="A3" s="14"/>
      <c r="B3" s="12" t="s">
        <v>211</v>
      </c>
      <c r="C3" s="12"/>
      <c r="D3" s="12" t="s">
        <v>209</v>
      </c>
      <c r="E3" s="12" t="s">
        <v>210</v>
      </c>
      <c r="F3" s="12"/>
      <c r="G3" s="37"/>
      <c r="J3" s="2" t="s">
        <v>215</v>
      </c>
      <c r="K3" s="6" t="s">
        <v>212</v>
      </c>
      <c r="L3" s="6" t="s">
        <v>213</v>
      </c>
      <c r="M3" s="6" t="s">
        <v>0</v>
      </c>
      <c r="N3" s="22" t="s">
        <v>197</v>
      </c>
      <c r="O3" s="6" t="s">
        <v>214</v>
      </c>
      <c r="S3" s="24"/>
    </row>
    <row r="4" spans="1:19" x14ac:dyDescent="0.4">
      <c r="A4" s="16"/>
      <c r="B4" s="36" t="str">
        <f>date</f>
        <v>Typical Event Day</v>
      </c>
      <c r="C4" s="13"/>
      <c r="D4" s="3" t="str">
        <f>lca</f>
        <v>All</v>
      </c>
      <c r="E4" t="str">
        <f>Size</f>
        <v>All</v>
      </c>
      <c r="F4" s="3"/>
      <c r="G4" s="38"/>
      <c r="J4" t="s">
        <v>3</v>
      </c>
      <c r="K4" s="36">
        <v>43519</v>
      </c>
      <c r="L4" t="s">
        <v>1</v>
      </c>
      <c r="M4" t="s">
        <v>1</v>
      </c>
      <c r="N4" s="23" t="s">
        <v>1</v>
      </c>
      <c r="O4" s="24" t="s">
        <v>1</v>
      </c>
      <c r="R4" s="36"/>
    </row>
    <row r="5" spans="1:19" ht="13.35" x14ac:dyDescent="0.5">
      <c r="A5" s="14"/>
      <c r="B5" s="14"/>
      <c r="C5" s="14"/>
      <c r="D5" s="14"/>
      <c r="E5" s="14"/>
      <c r="F5" s="14"/>
      <c r="G5" s="15"/>
      <c r="H5" s="15"/>
      <c r="J5" s="25" t="s">
        <v>237</v>
      </c>
      <c r="K5" s="36">
        <v>43536</v>
      </c>
      <c r="L5" t="s">
        <v>202</v>
      </c>
      <c r="M5" t="s">
        <v>188</v>
      </c>
      <c r="N5" s="27" t="s">
        <v>199</v>
      </c>
      <c r="O5" s="24"/>
      <c r="R5" s="36"/>
    </row>
    <row r="6" spans="1:19" x14ac:dyDescent="0.4">
      <c r="A6" s="16"/>
      <c r="B6" s="16"/>
      <c r="C6" s="40" t="s">
        <v>235</v>
      </c>
      <c r="D6" s="17">
        <f>IF(Two_way_tab_flag=1,"n/a",DGET(data,"enrolled",Criteria_enrolled))</f>
        <v>512</v>
      </c>
      <c r="E6" s="16"/>
      <c r="F6" s="17"/>
      <c r="G6" s="17"/>
      <c r="H6" s="17"/>
      <c r="K6" s="36">
        <v>43622</v>
      </c>
      <c r="L6" t="s">
        <v>203</v>
      </c>
      <c r="M6" t="s">
        <v>189</v>
      </c>
      <c r="N6" s="26" t="s">
        <v>198</v>
      </c>
      <c r="O6" s="24"/>
      <c r="R6" s="36"/>
    </row>
    <row r="7" spans="1:19" ht="13.35" x14ac:dyDescent="0.5">
      <c r="A7" s="14"/>
      <c r="C7" s="24" t="s">
        <v>216</v>
      </c>
      <c r="D7">
        <f>IF(COUNTIF(Table!B6:B7,"All")&lt;1,1,0)</f>
        <v>0</v>
      </c>
      <c r="K7" s="36">
        <v>43744</v>
      </c>
      <c r="L7" t="s">
        <v>204</v>
      </c>
      <c r="M7" t="s">
        <v>190</v>
      </c>
      <c r="N7" s="27" t="s">
        <v>245</v>
      </c>
      <c r="R7" s="36"/>
    </row>
    <row r="8" spans="1:19" ht="13.35" x14ac:dyDescent="0.5">
      <c r="A8" s="15"/>
      <c r="C8" s="24" t="s">
        <v>236</v>
      </c>
      <c r="D8">
        <f>IF(ISERROR(DGET(data,"called",_xlnm.Criteria))=TRUE,0,DGET(data,"called",_xlnm.Criteria))</f>
        <v>512</v>
      </c>
      <c r="K8" s="36">
        <v>43807</v>
      </c>
      <c r="L8" t="s">
        <v>205</v>
      </c>
      <c r="M8" t="s">
        <v>191</v>
      </c>
      <c r="N8" s="18"/>
    </row>
    <row r="9" spans="1:19" x14ac:dyDescent="0.4">
      <c r="K9" t="s">
        <v>2</v>
      </c>
      <c r="L9" t="s">
        <v>206</v>
      </c>
      <c r="M9" t="s">
        <v>192</v>
      </c>
      <c r="N9" s="27"/>
    </row>
    <row r="10" spans="1:19" x14ac:dyDescent="0.4">
      <c r="B10" t="s">
        <v>211</v>
      </c>
      <c r="C10" t="s">
        <v>217</v>
      </c>
      <c r="D10" t="s">
        <v>218</v>
      </c>
      <c r="E10" t="s">
        <v>219</v>
      </c>
      <c r="K10" s="36"/>
      <c r="L10" t="s">
        <v>207</v>
      </c>
      <c r="M10" t="s">
        <v>193</v>
      </c>
      <c r="N10" s="26"/>
      <c r="R10" s="24"/>
    </row>
    <row r="11" spans="1:19" x14ac:dyDescent="0.4">
      <c r="B11" s="36">
        <v>43519</v>
      </c>
      <c r="D11">
        <v>20</v>
      </c>
      <c r="E11">
        <v>22</v>
      </c>
      <c r="F11" t="str">
        <f t="shared" ref="F11" si="0">"Hours Ending "&amp;D11&amp;" to "&amp;E11</f>
        <v>Hours Ending 20 to 22</v>
      </c>
      <c r="K11" s="36"/>
      <c r="L11" t="s">
        <v>208</v>
      </c>
      <c r="M11" t="s">
        <v>194</v>
      </c>
      <c r="N11" s="18"/>
      <c r="R11" s="24"/>
    </row>
    <row r="12" spans="1:19" x14ac:dyDescent="0.4">
      <c r="B12" s="36">
        <v>43536</v>
      </c>
      <c r="D12">
        <v>8</v>
      </c>
      <c r="E12">
        <v>9</v>
      </c>
      <c r="F12" t="str">
        <f>"Hours Ending 7 to 10"</f>
        <v>Hours Ending 7 to 10</v>
      </c>
      <c r="K12" s="36"/>
      <c r="M12" t="s">
        <v>195</v>
      </c>
    </row>
    <row r="13" spans="1:19" x14ac:dyDescent="0.4">
      <c r="B13" s="36">
        <v>43622</v>
      </c>
      <c r="D13">
        <v>8</v>
      </c>
      <c r="E13">
        <v>9</v>
      </c>
      <c r="F13" t="str">
        <f>"Hours Ending 7 to 10"</f>
        <v>Hours Ending 7 to 10</v>
      </c>
      <c r="K13" s="36"/>
    </row>
    <row r="14" spans="1:19" x14ac:dyDescent="0.4">
      <c r="B14" s="36">
        <v>43744</v>
      </c>
      <c r="D14">
        <v>18</v>
      </c>
      <c r="E14">
        <v>19</v>
      </c>
      <c r="F14" t="str">
        <f>"Hours Ending "&amp;D14&amp;" to "&amp;E14</f>
        <v>Hours Ending 18 to 19</v>
      </c>
      <c r="K14" s="36"/>
    </row>
    <row r="15" spans="1:19" x14ac:dyDescent="0.4">
      <c r="B15" s="36">
        <v>43807</v>
      </c>
      <c r="D15">
        <v>18</v>
      </c>
      <c r="E15">
        <v>19</v>
      </c>
      <c r="F15" t="str">
        <f>"Hours Ending "&amp;D15&amp;" to "&amp;E15</f>
        <v>Hours Ending 18 to 19</v>
      </c>
      <c r="K15" s="36"/>
    </row>
    <row r="16" spans="1:19" x14ac:dyDescent="0.4">
      <c r="B16" t="s">
        <v>2</v>
      </c>
      <c r="D16">
        <v>18</v>
      </c>
      <c r="E16">
        <v>19</v>
      </c>
      <c r="F16" t="str">
        <f>"Hours Ending "&amp;D16&amp;" to "&amp;E16</f>
        <v>Hours Ending 18 to 19</v>
      </c>
      <c r="K16" s="36"/>
    </row>
    <row r="17" spans="1:15" x14ac:dyDescent="0.4">
      <c r="B17" s="36"/>
    </row>
    <row r="18" spans="1:15" x14ac:dyDescent="0.4">
      <c r="B18" s="36"/>
    </row>
    <row r="19" spans="1:15" ht="13.35" x14ac:dyDescent="0.5">
      <c r="B19" s="12" t="s">
        <v>211</v>
      </c>
      <c r="C19" s="12"/>
      <c r="D19" s="12" t="s">
        <v>209</v>
      </c>
      <c r="E19" s="12" t="s">
        <v>210</v>
      </c>
    </row>
    <row r="20" spans="1:15" x14ac:dyDescent="0.4">
      <c r="B20" s="36" t="str">
        <f>date</f>
        <v>Typical Event Day</v>
      </c>
      <c r="C20" s="13"/>
      <c r="D20" s="3" t="str">
        <f>lca</f>
        <v>All</v>
      </c>
      <c r="E20" t="str">
        <f>Size</f>
        <v>All</v>
      </c>
      <c r="O20" s="18"/>
    </row>
    <row r="21" spans="1:15" x14ac:dyDescent="0.4">
      <c r="B21" s="36"/>
      <c r="O21" s="18"/>
    </row>
    <row r="22" spans="1:15" x14ac:dyDescent="0.4">
      <c r="B22" s="36"/>
      <c r="O22" s="18"/>
    </row>
    <row r="23" spans="1:15" x14ac:dyDescent="0.4">
      <c r="B23" s="36"/>
      <c r="O23" s="18"/>
    </row>
    <row r="24" spans="1:15" x14ac:dyDescent="0.4">
      <c r="B24" s="90" t="s">
        <v>264</v>
      </c>
      <c r="C24">
        <f>IF(OR(date=B12,date=B13),1,0)</f>
        <v>0</v>
      </c>
      <c r="O24" s="18"/>
    </row>
    <row r="25" spans="1:15" x14ac:dyDescent="0.4">
      <c r="B25" s="32" t="s">
        <v>249</v>
      </c>
      <c r="C25">
        <f>DGET(data,"pass",_xlnm.Criteria)</f>
        <v>1</v>
      </c>
    </row>
    <row r="26" spans="1:15" x14ac:dyDescent="0.4">
      <c r="B26" s="32"/>
    </row>
    <row r="27" spans="1:15" x14ac:dyDescent="0.4">
      <c r="A27" s="4"/>
      <c r="B27" s="4"/>
      <c r="C27" s="4"/>
      <c r="D27" s="4"/>
      <c r="E27" s="4"/>
      <c r="F27" s="4"/>
    </row>
    <row r="28" spans="1:15" x14ac:dyDescent="0.4">
      <c r="A28" s="4"/>
      <c r="B28" s="4"/>
      <c r="C28" s="4"/>
      <c r="D28" s="4"/>
      <c r="E28" s="4"/>
      <c r="F28" s="4"/>
    </row>
    <row r="29" spans="1:15" x14ac:dyDescent="0.4">
      <c r="A29" s="4"/>
      <c r="B29" s="4"/>
      <c r="C29" s="4"/>
      <c r="D29" s="4"/>
      <c r="E29" s="4"/>
      <c r="F29" s="4"/>
    </row>
    <row r="30" spans="1:15" x14ac:dyDescent="0.4">
      <c r="B30" s="28" t="s">
        <v>201</v>
      </c>
      <c r="C30" s="24" t="s">
        <v>232</v>
      </c>
      <c r="D30" s="24" t="s">
        <v>222</v>
      </c>
      <c r="E30" s="24" t="s">
        <v>223</v>
      </c>
      <c r="F30" s="24" t="s">
        <v>224</v>
      </c>
      <c r="G30" s="24" t="s">
        <v>230</v>
      </c>
      <c r="H30" s="24" t="s">
        <v>225</v>
      </c>
      <c r="I30" s="24" t="s">
        <v>226</v>
      </c>
      <c r="J30" s="24" t="s">
        <v>227</v>
      </c>
      <c r="K30" s="24" t="s">
        <v>228</v>
      </c>
      <c r="L30" s="24" t="s">
        <v>229</v>
      </c>
      <c r="M30" s="24" t="s">
        <v>233</v>
      </c>
    </row>
    <row r="31" spans="1:15" x14ac:dyDescent="0.4">
      <c r="A31">
        <v>1</v>
      </c>
      <c r="B31" s="29">
        <f>MAX(0,Table!K7-75)</f>
        <v>0</v>
      </c>
      <c r="C31" t="str">
        <f t="shared" ref="C31:C54" si="1">IF(AND(A31&gt;=VLOOKUP(date,$B$11:$D$26,3,FALSE),A31&lt;=VLOOKUP(date,$B$11:$E$26,4,FALSE)),1,"")</f>
        <v/>
      </c>
      <c r="D31" s="4" t="str">
        <f>IF($C31=1,Table!H7,"")</f>
        <v/>
      </c>
      <c r="E31" s="4" t="str">
        <f>IF($C31=1,Table!I7,"")</f>
        <v/>
      </c>
      <c r="F31" s="4" t="str">
        <f>IF($C31=1,Table!J7,"")</f>
        <v/>
      </c>
      <c r="G31" s="4" t="str">
        <f>IF($C31=1,B31,"")</f>
        <v/>
      </c>
      <c r="H31" s="4" t="str">
        <f>IF($C31=1,Table!L7,"")</f>
        <v/>
      </c>
      <c r="I31" s="4" t="str">
        <f>IF($C31=1,Table!M7,"")</f>
        <v/>
      </c>
      <c r="J31" s="4" t="str">
        <f>IF($C31=1,Table!N7,"")</f>
        <v/>
      </c>
      <c r="K31" s="4" t="str">
        <f>IF($C31=1,Table!O7,"")</f>
        <v/>
      </c>
      <c r="L31" s="4" t="str">
        <f>IF($C31=1,Table!P7,"")</f>
        <v/>
      </c>
      <c r="M31" s="21" t="str">
        <f>IF(C31=1,((Table!M7-Table!N7)/NORMSINV(0.3))^2,"")</f>
        <v/>
      </c>
    </row>
    <row r="32" spans="1:15" x14ac:dyDescent="0.4">
      <c r="A32">
        <f>A31+1</f>
        <v>2</v>
      </c>
      <c r="B32" s="29">
        <f>MAX(0,Table!K8-75)</f>
        <v>0</v>
      </c>
      <c r="C32" t="str">
        <f t="shared" si="1"/>
        <v/>
      </c>
      <c r="D32" s="4" t="str">
        <f>IF($C32=1,Table!H8,"")</f>
        <v/>
      </c>
      <c r="E32" s="4" t="str">
        <f>IF($C32=1,Table!I8,"")</f>
        <v/>
      </c>
      <c r="F32" s="4" t="str">
        <f>IF($C32=1,Table!J8,"")</f>
        <v/>
      </c>
      <c r="G32" s="4" t="str">
        <f t="shared" ref="G32:G54" si="2">IF($C32=1,B32,"")</f>
        <v/>
      </c>
      <c r="H32" s="4" t="str">
        <f>IF($C32=1,Table!L8,"")</f>
        <v/>
      </c>
      <c r="I32" s="4" t="str">
        <f>IF($C32=1,Table!M8,"")</f>
        <v/>
      </c>
      <c r="J32" s="4" t="str">
        <f>IF($C32=1,Table!N8,"")</f>
        <v/>
      </c>
      <c r="K32" s="4" t="str">
        <f>IF($C32=1,Table!O8,"")</f>
        <v/>
      </c>
      <c r="L32" s="4" t="str">
        <f>IF($C32=1,Table!P8,"")</f>
        <v/>
      </c>
      <c r="M32" s="21" t="str">
        <f>IF(C32=1,((Table!M8-Table!N8)/NORMSINV(0.3))^2,"")</f>
        <v/>
      </c>
    </row>
    <row r="33" spans="1:13" x14ac:dyDescent="0.4">
      <c r="A33">
        <f t="shared" ref="A33:A54" si="3">A32+1</f>
        <v>3</v>
      </c>
      <c r="B33" s="29">
        <f>MAX(0,Table!K9-75)</f>
        <v>0</v>
      </c>
      <c r="C33" t="str">
        <f t="shared" si="1"/>
        <v/>
      </c>
      <c r="D33" s="4" t="str">
        <f>IF($C33=1,Table!H9,"")</f>
        <v/>
      </c>
      <c r="E33" s="4" t="str">
        <f>IF($C33=1,Table!I9,"")</f>
        <v/>
      </c>
      <c r="F33" s="4" t="str">
        <f>IF($C33=1,Table!J9,"")</f>
        <v/>
      </c>
      <c r="G33" s="4" t="str">
        <f t="shared" si="2"/>
        <v/>
      </c>
      <c r="H33" s="4" t="str">
        <f>IF($C33=1,Table!L9,"")</f>
        <v/>
      </c>
      <c r="I33" s="4" t="str">
        <f>IF($C33=1,Table!M9,"")</f>
        <v/>
      </c>
      <c r="J33" s="4" t="str">
        <f>IF($C33=1,Table!N9,"")</f>
        <v/>
      </c>
      <c r="K33" s="4" t="str">
        <f>IF($C33=1,Table!O9,"")</f>
        <v/>
      </c>
      <c r="L33" s="4" t="str">
        <f>IF($C33=1,Table!P9,"")</f>
        <v/>
      </c>
      <c r="M33" s="21" t="str">
        <f>IF(C33=1,((Table!M9-Table!N9)/NORMSINV(0.3))^2,"")</f>
        <v/>
      </c>
    </row>
    <row r="34" spans="1:13" x14ac:dyDescent="0.4">
      <c r="A34">
        <f t="shared" si="3"/>
        <v>4</v>
      </c>
      <c r="B34" s="29">
        <f>MAX(0,Table!K10-75)</f>
        <v>0</v>
      </c>
      <c r="C34" t="str">
        <f t="shared" si="1"/>
        <v/>
      </c>
      <c r="D34" s="4" t="str">
        <f>IF($C34=1,Table!H10,"")</f>
        <v/>
      </c>
      <c r="E34" s="4" t="str">
        <f>IF($C34=1,Table!I10,"")</f>
        <v/>
      </c>
      <c r="F34" s="4" t="str">
        <f>IF($C34=1,Table!J10,"")</f>
        <v/>
      </c>
      <c r="G34" s="4" t="str">
        <f t="shared" si="2"/>
        <v/>
      </c>
      <c r="H34" s="4" t="str">
        <f>IF($C34=1,Table!L10,"")</f>
        <v/>
      </c>
      <c r="I34" s="4" t="str">
        <f>IF($C34=1,Table!M10,"")</f>
        <v/>
      </c>
      <c r="J34" s="4" t="str">
        <f>IF($C34=1,Table!N10,"")</f>
        <v/>
      </c>
      <c r="K34" s="4" t="str">
        <f>IF($C34=1,Table!O10,"")</f>
        <v/>
      </c>
      <c r="L34" s="4" t="str">
        <f>IF($C34=1,Table!P10,"")</f>
        <v/>
      </c>
      <c r="M34" s="21" t="str">
        <f>IF(C34=1,((Table!M10-Table!N10)/NORMSINV(0.3))^2,"")</f>
        <v/>
      </c>
    </row>
    <row r="35" spans="1:13" x14ac:dyDescent="0.4">
      <c r="A35">
        <f t="shared" si="3"/>
        <v>5</v>
      </c>
      <c r="B35" s="29">
        <f>MAX(0,Table!K11-75)</f>
        <v>0</v>
      </c>
      <c r="C35" t="str">
        <f t="shared" si="1"/>
        <v/>
      </c>
      <c r="D35" s="4" t="str">
        <f>IF($C35=1,Table!H11,"")</f>
        <v/>
      </c>
      <c r="E35" s="4" t="str">
        <f>IF($C35=1,Table!I11,"")</f>
        <v/>
      </c>
      <c r="F35" s="4" t="str">
        <f>IF($C35=1,Table!J11,"")</f>
        <v/>
      </c>
      <c r="G35" s="4" t="str">
        <f t="shared" si="2"/>
        <v/>
      </c>
      <c r="H35" s="4" t="str">
        <f>IF($C35=1,Table!L11,"")</f>
        <v/>
      </c>
      <c r="I35" s="4" t="str">
        <f>IF($C35=1,Table!M11,"")</f>
        <v/>
      </c>
      <c r="J35" s="4" t="str">
        <f>IF($C35=1,Table!N11,"")</f>
        <v/>
      </c>
      <c r="K35" s="4" t="str">
        <f>IF($C35=1,Table!O11,"")</f>
        <v/>
      </c>
      <c r="L35" s="4" t="str">
        <f>IF($C35=1,Table!P11,"")</f>
        <v/>
      </c>
      <c r="M35" s="21" t="str">
        <f>IF(C35=1,((Table!M11-Table!N11)/NORMSINV(0.3))^2,"")</f>
        <v/>
      </c>
    </row>
    <row r="36" spans="1:13" x14ac:dyDescent="0.4">
      <c r="A36">
        <f t="shared" si="3"/>
        <v>6</v>
      </c>
      <c r="B36" s="29">
        <f>MAX(0,Table!K12-75)</f>
        <v>0</v>
      </c>
      <c r="C36" t="str">
        <f t="shared" si="1"/>
        <v/>
      </c>
      <c r="D36" s="4" t="str">
        <f>IF($C36=1,Table!H12,"")</f>
        <v/>
      </c>
      <c r="E36" s="4" t="str">
        <f>IF($C36=1,Table!I12,"")</f>
        <v/>
      </c>
      <c r="F36" s="4" t="str">
        <f>IF($C36=1,Table!J12,"")</f>
        <v/>
      </c>
      <c r="G36" s="4" t="str">
        <f t="shared" si="2"/>
        <v/>
      </c>
      <c r="H36" s="4" t="str">
        <f>IF($C36=1,Table!L12,"")</f>
        <v/>
      </c>
      <c r="I36" s="4" t="str">
        <f>IF($C36=1,Table!M12,"")</f>
        <v/>
      </c>
      <c r="J36" s="4" t="str">
        <f>IF($C36=1,Table!N12,"")</f>
        <v/>
      </c>
      <c r="K36" s="4" t="str">
        <f>IF($C36=1,Table!O12,"")</f>
        <v/>
      </c>
      <c r="L36" s="4" t="str">
        <f>IF($C36=1,Table!P12,"")</f>
        <v/>
      </c>
      <c r="M36" s="21" t="str">
        <f>IF(C36=1,((Table!M12-Table!N12)/NORMSINV(0.3))^2,"")</f>
        <v/>
      </c>
    </row>
    <row r="37" spans="1:13" x14ac:dyDescent="0.4">
      <c r="A37">
        <f t="shared" si="3"/>
        <v>7</v>
      </c>
      <c r="B37" s="29">
        <f>MAX(0,Table!K13-75)</f>
        <v>0</v>
      </c>
      <c r="C37" t="str">
        <f t="shared" si="1"/>
        <v/>
      </c>
      <c r="D37" s="4" t="str">
        <f>IF($C37=1,Table!H13,"")</f>
        <v/>
      </c>
      <c r="E37" s="4" t="str">
        <f>IF($C37=1,Table!I13,"")</f>
        <v/>
      </c>
      <c r="F37" s="4" t="str">
        <f>IF($C37=1,Table!J13,"")</f>
        <v/>
      </c>
      <c r="G37" s="4" t="str">
        <f t="shared" si="2"/>
        <v/>
      </c>
      <c r="H37" s="4" t="str">
        <f>IF($C37=1,Table!L13,"")</f>
        <v/>
      </c>
      <c r="I37" s="4" t="str">
        <f>IF($C37=1,Table!M13,"")</f>
        <v/>
      </c>
      <c r="J37" s="4" t="str">
        <f>IF($C37=1,Table!N13,"")</f>
        <v/>
      </c>
      <c r="K37" s="4" t="str">
        <f>IF($C37=1,Table!O13,"")</f>
        <v/>
      </c>
      <c r="L37" s="4" t="str">
        <f>IF($C37=1,Table!P13,"")</f>
        <v/>
      </c>
      <c r="M37" s="21" t="str">
        <f>IF(C37=1,((Table!M13-Table!N13)/NORMSINV(0.3))^2,"")</f>
        <v/>
      </c>
    </row>
    <row r="38" spans="1:13" x14ac:dyDescent="0.4">
      <c r="A38">
        <f t="shared" si="3"/>
        <v>8</v>
      </c>
      <c r="B38" s="29">
        <f>MAX(0,Table!K14-75)</f>
        <v>0</v>
      </c>
      <c r="C38" t="str">
        <f t="shared" si="1"/>
        <v/>
      </c>
      <c r="D38" s="4" t="str">
        <f>IF($C38=1,Table!H14,"")</f>
        <v/>
      </c>
      <c r="E38" s="4" t="str">
        <f>IF($C38=1,Table!I14,"")</f>
        <v/>
      </c>
      <c r="F38" s="4" t="str">
        <f>IF($C38=1,Table!J14,"")</f>
        <v/>
      </c>
      <c r="G38" s="4" t="str">
        <f t="shared" si="2"/>
        <v/>
      </c>
      <c r="H38" s="4" t="str">
        <f>IF($C38=1,Table!L14,"")</f>
        <v/>
      </c>
      <c r="I38" s="4" t="str">
        <f>IF($C38=1,Table!M14,"")</f>
        <v/>
      </c>
      <c r="J38" s="4" t="str">
        <f>IF($C38=1,Table!N14,"")</f>
        <v/>
      </c>
      <c r="K38" s="4" t="str">
        <f>IF($C38=1,Table!O14,"")</f>
        <v/>
      </c>
      <c r="L38" s="4" t="str">
        <f>IF($C38=1,Table!P14,"")</f>
        <v/>
      </c>
      <c r="M38" s="21" t="str">
        <f>IF(C38=1,((Table!M14-Table!N14)/NORMSINV(0.3))^2,"")</f>
        <v/>
      </c>
    </row>
    <row r="39" spans="1:13" x14ac:dyDescent="0.4">
      <c r="A39">
        <f t="shared" si="3"/>
        <v>9</v>
      </c>
      <c r="B39" s="29">
        <f>MAX(0,Table!K15-75)</f>
        <v>0</v>
      </c>
      <c r="C39" t="str">
        <f t="shared" si="1"/>
        <v/>
      </c>
      <c r="D39" s="4" t="str">
        <f>IF($C39=1,Table!H15,"")</f>
        <v/>
      </c>
      <c r="E39" s="4" t="str">
        <f>IF($C39=1,Table!I15,"")</f>
        <v/>
      </c>
      <c r="F39" s="4" t="str">
        <f>IF($C39=1,Table!J15,"")</f>
        <v/>
      </c>
      <c r="G39" s="4" t="str">
        <f t="shared" si="2"/>
        <v/>
      </c>
      <c r="H39" s="4" t="str">
        <f>IF($C39=1,Table!L15,"")</f>
        <v/>
      </c>
      <c r="I39" s="4" t="str">
        <f>IF($C39=1,Table!M15,"")</f>
        <v/>
      </c>
      <c r="J39" s="4" t="str">
        <f>IF($C39=1,Table!N15,"")</f>
        <v/>
      </c>
      <c r="K39" s="4" t="str">
        <f>IF($C39=1,Table!O15,"")</f>
        <v/>
      </c>
      <c r="L39" s="4" t="str">
        <f>IF($C39=1,Table!P15,"")</f>
        <v/>
      </c>
      <c r="M39" s="21" t="str">
        <f>IF(C39=1,((Table!M15-Table!N15)/NORMSINV(0.3))^2,"")</f>
        <v/>
      </c>
    </row>
    <row r="40" spans="1:13" x14ac:dyDescent="0.4">
      <c r="A40">
        <f t="shared" si="3"/>
        <v>10</v>
      </c>
      <c r="B40" s="29">
        <f>MAX(0,Table!K16-75)</f>
        <v>0</v>
      </c>
      <c r="C40" t="str">
        <f t="shared" si="1"/>
        <v/>
      </c>
      <c r="D40" s="4" t="str">
        <f>IF($C40=1,Table!H16,"")</f>
        <v/>
      </c>
      <c r="E40" s="4" t="str">
        <f>IF($C40=1,Table!I16,"")</f>
        <v/>
      </c>
      <c r="F40" s="4" t="str">
        <f>IF($C40=1,Table!J16,"")</f>
        <v/>
      </c>
      <c r="G40" s="4" t="str">
        <f t="shared" si="2"/>
        <v/>
      </c>
      <c r="H40" s="4" t="str">
        <f>IF($C40=1,Table!L16,"")</f>
        <v/>
      </c>
      <c r="I40" s="4" t="str">
        <f>IF($C40=1,Table!M16,"")</f>
        <v/>
      </c>
      <c r="J40" s="4" t="str">
        <f>IF($C40=1,Table!N16,"")</f>
        <v/>
      </c>
      <c r="K40" s="4" t="str">
        <f>IF($C40=1,Table!O16,"")</f>
        <v/>
      </c>
      <c r="L40" s="4" t="str">
        <f>IF($C40=1,Table!P16,"")</f>
        <v/>
      </c>
      <c r="M40" s="21" t="str">
        <f>IF(C40=1,((Table!M16-Table!N16)/NORMSINV(0.3))^2,"")</f>
        <v/>
      </c>
    </row>
    <row r="41" spans="1:13" x14ac:dyDescent="0.4">
      <c r="A41">
        <f t="shared" si="3"/>
        <v>11</v>
      </c>
      <c r="B41" s="29">
        <f>MAX(0,Table!K17-75)</f>
        <v>0</v>
      </c>
      <c r="C41" t="str">
        <f t="shared" si="1"/>
        <v/>
      </c>
      <c r="D41" s="4" t="str">
        <f>IF($C41=1,Table!H17,"")</f>
        <v/>
      </c>
      <c r="E41" s="4" t="str">
        <f>IF($C41=1,Table!I17,"")</f>
        <v/>
      </c>
      <c r="F41" s="4" t="str">
        <f>IF($C41=1,Table!J17,"")</f>
        <v/>
      </c>
      <c r="G41" s="4" t="str">
        <f t="shared" si="2"/>
        <v/>
      </c>
      <c r="H41" s="4" t="str">
        <f>IF($C41=1,Table!L17,"")</f>
        <v/>
      </c>
      <c r="I41" s="4" t="str">
        <f>IF($C41=1,Table!M17,"")</f>
        <v/>
      </c>
      <c r="J41" s="4" t="str">
        <f>IF($C41=1,Table!N17,"")</f>
        <v/>
      </c>
      <c r="K41" s="4" t="str">
        <f>IF($C41=1,Table!O17,"")</f>
        <v/>
      </c>
      <c r="L41" s="4" t="str">
        <f>IF($C41=1,Table!P17,"")</f>
        <v/>
      </c>
      <c r="M41" s="21" t="str">
        <f>IF(C41=1,((Table!M17-Table!N17)/NORMSINV(0.3))^2,"")</f>
        <v/>
      </c>
    </row>
    <row r="42" spans="1:13" x14ac:dyDescent="0.4">
      <c r="A42">
        <f t="shared" si="3"/>
        <v>12</v>
      </c>
      <c r="B42" s="29">
        <f>MAX(0,Table!K18-75)</f>
        <v>1.9244400000000041</v>
      </c>
      <c r="C42" t="str">
        <f t="shared" si="1"/>
        <v/>
      </c>
      <c r="D42" s="4" t="str">
        <f>IF($C42=1,Table!H18,"")</f>
        <v/>
      </c>
      <c r="E42" s="4" t="str">
        <f>IF($C42=1,Table!I18,"")</f>
        <v/>
      </c>
      <c r="F42" s="4" t="str">
        <f>IF($C42=1,Table!J18,"")</f>
        <v/>
      </c>
      <c r="G42" s="4" t="str">
        <f t="shared" si="2"/>
        <v/>
      </c>
      <c r="H42" s="4" t="str">
        <f>IF($C42=1,Table!L18,"")</f>
        <v/>
      </c>
      <c r="I42" s="4" t="str">
        <f>IF($C42=1,Table!M18,"")</f>
        <v/>
      </c>
      <c r="J42" s="4" t="str">
        <f>IF($C42=1,Table!N18,"")</f>
        <v/>
      </c>
      <c r="K42" s="4" t="str">
        <f>IF($C42=1,Table!O18,"")</f>
        <v/>
      </c>
      <c r="L42" s="4" t="str">
        <f>IF($C42=1,Table!P18,"")</f>
        <v/>
      </c>
      <c r="M42" s="21" t="str">
        <f>IF(C42=1,((Table!M18-Table!N18)/NORMSINV(0.3))^2,"")</f>
        <v/>
      </c>
    </row>
    <row r="43" spans="1:13" x14ac:dyDescent="0.4">
      <c r="A43">
        <f t="shared" si="3"/>
        <v>13</v>
      </c>
      <c r="B43" s="29">
        <f>MAX(0,Table!K19-75)</f>
        <v>4.4310799999999944</v>
      </c>
      <c r="C43" t="str">
        <f t="shared" si="1"/>
        <v/>
      </c>
      <c r="D43" s="4" t="str">
        <f>IF($C43=1,Table!H19,"")</f>
        <v/>
      </c>
      <c r="E43" s="4" t="str">
        <f>IF($C43=1,Table!I19,"")</f>
        <v/>
      </c>
      <c r="F43" s="4" t="str">
        <f>IF($C43=1,Table!J19,"")</f>
        <v/>
      </c>
      <c r="G43" s="4" t="str">
        <f t="shared" si="2"/>
        <v/>
      </c>
      <c r="H43" s="4" t="str">
        <f>IF($C43=1,Table!L19,"")</f>
        <v/>
      </c>
      <c r="I43" s="4" t="str">
        <f>IF($C43=1,Table!M19,"")</f>
        <v/>
      </c>
      <c r="J43" s="4" t="str">
        <f>IF($C43=1,Table!N19,"")</f>
        <v/>
      </c>
      <c r="K43" s="4" t="str">
        <f>IF($C43=1,Table!O19,"")</f>
        <v/>
      </c>
      <c r="L43" s="4" t="str">
        <f>IF($C43=1,Table!P19,"")</f>
        <v/>
      </c>
      <c r="M43" s="21" t="str">
        <f>IF(C43=1,((Table!M19-Table!N19)/NORMSINV(0.3))^2,"")</f>
        <v/>
      </c>
    </row>
    <row r="44" spans="1:13" x14ac:dyDescent="0.4">
      <c r="A44">
        <f t="shared" si="3"/>
        <v>14</v>
      </c>
      <c r="B44" s="29">
        <f>MAX(0,Table!K20-75)</f>
        <v>6.9697299999999984</v>
      </c>
      <c r="C44" t="str">
        <f t="shared" si="1"/>
        <v/>
      </c>
      <c r="D44" s="4" t="str">
        <f>IF($C44=1,Table!H20,"")</f>
        <v/>
      </c>
      <c r="E44" s="4" t="str">
        <f>IF($C44=1,Table!I20,"")</f>
        <v/>
      </c>
      <c r="F44" s="4" t="str">
        <f>IF($C44=1,Table!J20,"")</f>
        <v/>
      </c>
      <c r="G44" s="4" t="str">
        <f t="shared" si="2"/>
        <v/>
      </c>
      <c r="H44" s="4" t="str">
        <f>IF($C44=1,Table!L20,"")</f>
        <v/>
      </c>
      <c r="I44" s="4" t="str">
        <f>IF($C44=1,Table!M20,"")</f>
        <v/>
      </c>
      <c r="J44" s="4" t="str">
        <f>IF($C44=1,Table!N20,"")</f>
        <v/>
      </c>
      <c r="K44" s="4" t="str">
        <f>IF($C44=1,Table!O20,"")</f>
        <v/>
      </c>
      <c r="L44" s="4" t="str">
        <f>IF($C44=1,Table!P20,"")</f>
        <v/>
      </c>
      <c r="M44" s="21" t="str">
        <f>IF(C44=1,((Table!M20-Table!N20)/NORMSINV(0.3))^2,"")</f>
        <v/>
      </c>
    </row>
    <row r="45" spans="1:13" x14ac:dyDescent="0.4">
      <c r="A45">
        <f t="shared" si="3"/>
        <v>15</v>
      </c>
      <c r="B45" s="29">
        <f>MAX(0,Table!K21-75)</f>
        <v>8.751339999999999</v>
      </c>
      <c r="C45" t="str">
        <f t="shared" si="1"/>
        <v/>
      </c>
      <c r="D45" s="4" t="str">
        <f>IF($C45=1,Table!H21,"")</f>
        <v/>
      </c>
      <c r="E45" s="4" t="str">
        <f>IF($C45=1,Table!I21,"")</f>
        <v/>
      </c>
      <c r="F45" s="4" t="str">
        <f>IF($C45=1,Table!J21,"")</f>
        <v/>
      </c>
      <c r="G45" s="4" t="str">
        <f t="shared" si="2"/>
        <v/>
      </c>
      <c r="H45" s="4" t="str">
        <f>IF($C45=1,Table!L21,"")</f>
        <v/>
      </c>
      <c r="I45" s="4" t="str">
        <f>IF($C45=1,Table!M21,"")</f>
        <v/>
      </c>
      <c r="J45" s="4" t="str">
        <f>IF($C45=1,Table!N21,"")</f>
        <v/>
      </c>
      <c r="K45" s="4" t="str">
        <f>IF($C45=1,Table!O21,"")</f>
        <v/>
      </c>
      <c r="L45" s="4" t="str">
        <f>IF($C45=1,Table!P21,"")</f>
        <v/>
      </c>
      <c r="M45" s="21" t="str">
        <f>IF(C45=1,((Table!M21-Table!N21)/NORMSINV(0.3))^2,"")</f>
        <v/>
      </c>
    </row>
    <row r="46" spans="1:13" x14ac:dyDescent="0.4">
      <c r="A46">
        <f t="shared" si="3"/>
        <v>16</v>
      </c>
      <c r="B46" s="29">
        <f>MAX(0,Table!K22-75)</f>
        <v>9.7098799999999983</v>
      </c>
      <c r="C46" t="str">
        <f t="shared" si="1"/>
        <v/>
      </c>
      <c r="D46" s="4" t="str">
        <f>IF($C46=1,Table!H22,"")</f>
        <v/>
      </c>
      <c r="E46" s="4" t="str">
        <f>IF($C46=1,Table!I22,"")</f>
        <v/>
      </c>
      <c r="F46" s="4" t="str">
        <f>IF($C46=1,Table!J22,"")</f>
        <v/>
      </c>
      <c r="G46" s="4" t="str">
        <f t="shared" si="2"/>
        <v/>
      </c>
      <c r="H46" s="4" t="str">
        <f>IF($C46=1,Table!L22,"")</f>
        <v/>
      </c>
      <c r="I46" s="4" t="str">
        <f>IF($C46=1,Table!M22,"")</f>
        <v/>
      </c>
      <c r="J46" s="4" t="str">
        <f>IF($C46=1,Table!N22,"")</f>
        <v/>
      </c>
      <c r="K46" s="4" t="str">
        <f>IF($C46=1,Table!O22,"")</f>
        <v/>
      </c>
      <c r="L46" s="4" t="str">
        <f>IF($C46=1,Table!P22,"")</f>
        <v/>
      </c>
      <c r="M46" s="21" t="str">
        <f>IF(C46=1,((Table!M22-Table!N22)/NORMSINV(0.3))^2,"")</f>
        <v/>
      </c>
    </row>
    <row r="47" spans="1:13" x14ac:dyDescent="0.4">
      <c r="A47">
        <f t="shared" si="3"/>
        <v>17</v>
      </c>
      <c r="B47" s="29">
        <f>MAX(0,Table!K23-75)</f>
        <v>9.9162100000000066</v>
      </c>
      <c r="C47" t="str">
        <f t="shared" si="1"/>
        <v/>
      </c>
      <c r="D47" s="4" t="str">
        <f>IF($C47=1,Table!H23,"")</f>
        <v/>
      </c>
      <c r="E47" s="4" t="str">
        <f>IF($C47=1,Table!I23,"")</f>
        <v/>
      </c>
      <c r="F47" s="4" t="str">
        <f>IF($C47=1,Table!J23,"")</f>
        <v/>
      </c>
      <c r="G47" s="4" t="str">
        <f t="shared" si="2"/>
        <v/>
      </c>
      <c r="H47" s="4" t="str">
        <f>IF($C47=1,Table!L23,"")</f>
        <v/>
      </c>
      <c r="I47" s="4" t="str">
        <f>IF($C47=1,Table!M23,"")</f>
        <v/>
      </c>
      <c r="J47" s="4" t="str">
        <f>IF($C47=1,Table!N23,"")</f>
        <v/>
      </c>
      <c r="K47" s="4" t="str">
        <f>IF($C47=1,Table!O23,"")</f>
        <v/>
      </c>
      <c r="L47" s="4" t="str">
        <f>IF($C47=1,Table!P23,"")</f>
        <v/>
      </c>
      <c r="M47" s="21" t="str">
        <f>IF(C47=1,((Table!M23-Table!N23)/NORMSINV(0.3))^2,"")</f>
        <v/>
      </c>
    </row>
    <row r="48" spans="1:13" x14ac:dyDescent="0.4">
      <c r="A48">
        <f t="shared" si="3"/>
        <v>18</v>
      </c>
      <c r="B48" s="29">
        <f>MAX(0,Table!K24-75)</f>
        <v>8.4424999999999955</v>
      </c>
      <c r="C48">
        <f t="shared" si="1"/>
        <v>1</v>
      </c>
      <c r="D48" s="4">
        <f>IF($C48=1,Table!H24,"")</f>
        <v>249.9152</v>
      </c>
      <c r="E48" s="4">
        <f>IF($C48=1,Table!I24,"")</f>
        <v>80.354800000000012</v>
      </c>
      <c r="F48" s="4">
        <f>IF($C48=1,Table!J24,"")</f>
        <v>169.56039999999999</v>
      </c>
      <c r="G48" s="4">
        <f t="shared" si="2"/>
        <v>8.4424999999999955</v>
      </c>
      <c r="H48" s="4">
        <f>IF($C48=1,Table!L24,"")</f>
        <v>166.27420000000001</v>
      </c>
      <c r="I48" s="4">
        <f>IF($C48=1,Table!M24,"")</f>
        <v>168.2157</v>
      </c>
      <c r="J48" s="4">
        <f>IF($C48=1,Table!N24,"")</f>
        <v>169.56039999999999</v>
      </c>
      <c r="K48" s="4">
        <f>IF($C48=1,Table!O24,"")</f>
        <v>170.90520000000001</v>
      </c>
      <c r="L48" s="4">
        <f>IF($C48=1,Table!P24,"")</f>
        <v>172.8467</v>
      </c>
      <c r="M48" s="21">
        <f>IF(C48=1,((Table!M24-Table!N24)/NORMSINV(0.3))^2,"")</f>
        <v>6.5754365971869504</v>
      </c>
    </row>
    <row r="49" spans="1:13" x14ac:dyDescent="0.4">
      <c r="A49">
        <f t="shared" si="3"/>
        <v>19</v>
      </c>
      <c r="B49" s="29">
        <f>MAX(0,Table!K25-75)</f>
        <v>3.9246399999999966</v>
      </c>
      <c r="C49">
        <f t="shared" si="1"/>
        <v>1</v>
      </c>
      <c r="D49" s="4">
        <f>IF($C49=1,Table!H25,"")</f>
        <v>253.4855</v>
      </c>
      <c r="E49" s="4">
        <f>IF($C49=1,Table!I25,"")</f>
        <v>77.74199999999999</v>
      </c>
      <c r="F49" s="4">
        <f>IF($C49=1,Table!J25,"")</f>
        <v>175.74350000000001</v>
      </c>
      <c r="G49" s="4">
        <f t="shared" si="2"/>
        <v>3.9246399999999966</v>
      </c>
      <c r="H49" s="4">
        <f>IF($C49=1,Table!L25,"")</f>
        <v>172.29089999999999</v>
      </c>
      <c r="I49" s="4">
        <f>IF($C49=1,Table!M25,"")</f>
        <v>174.33070000000001</v>
      </c>
      <c r="J49" s="4">
        <f>IF($C49=1,Table!N25,"")</f>
        <v>175.74350000000001</v>
      </c>
      <c r="K49" s="4">
        <f>IF($C49=1,Table!O25,"")</f>
        <v>177.15629999999999</v>
      </c>
      <c r="L49" s="4">
        <f>IF($C49=1,Table!P25,"")</f>
        <v>179.1962</v>
      </c>
      <c r="M49" s="21">
        <f>IF(C49=1,((Table!M25-Table!N25)/NORMSINV(0.3))^2,"")</f>
        <v>7.2583040564879999</v>
      </c>
    </row>
    <row r="50" spans="1:13" x14ac:dyDescent="0.4">
      <c r="A50">
        <f t="shared" si="3"/>
        <v>20</v>
      </c>
      <c r="B50" s="29">
        <f>MAX(0,Table!K26-75)</f>
        <v>6.0069999999996071E-2</v>
      </c>
      <c r="C50" t="str">
        <f t="shared" si="1"/>
        <v/>
      </c>
      <c r="D50" s="4" t="str">
        <f>IF($C50=1,Table!H26,"")</f>
        <v/>
      </c>
      <c r="E50" s="4" t="str">
        <f>IF($C50=1,Table!I26,"")</f>
        <v/>
      </c>
      <c r="F50" s="4" t="str">
        <f>IF($C50=1,Table!J26,"")</f>
        <v/>
      </c>
      <c r="G50" s="4" t="str">
        <f t="shared" si="2"/>
        <v/>
      </c>
      <c r="H50" s="4" t="str">
        <f>IF($C50=1,Table!L26,"")</f>
        <v/>
      </c>
      <c r="I50" s="4" t="str">
        <f>IF($C50=1,Table!M26,"")</f>
        <v/>
      </c>
      <c r="J50" s="4" t="str">
        <f>IF($C50=1,Table!N26,"")</f>
        <v/>
      </c>
      <c r="K50" s="4" t="str">
        <f>IF($C50=1,Table!O26,"")</f>
        <v/>
      </c>
      <c r="L50" s="4" t="str">
        <f>IF($C50=1,Table!P26,"")</f>
        <v/>
      </c>
      <c r="M50" s="21" t="str">
        <f>IF(C50=1,((Table!M26-Table!N26)/NORMSINV(0.3))^2,"")</f>
        <v/>
      </c>
    </row>
    <row r="51" spans="1:13" x14ac:dyDescent="0.4">
      <c r="A51">
        <f t="shared" si="3"/>
        <v>21</v>
      </c>
      <c r="B51" s="29">
        <f>MAX(0,Table!K27-75)</f>
        <v>0</v>
      </c>
      <c r="C51" t="str">
        <f t="shared" si="1"/>
        <v/>
      </c>
      <c r="D51" s="4" t="str">
        <f>IF($C51=1,Table!H27,"")</f>
        <v/>
      </c>
      <c r="E51" s="4" t="str">
        <f>IF($C51=1,Table!I27,"")</f>
        <v/>
      </c>
      <c r="F51" s="4" t="str">
        <f>IF($C51=1,Table!J27,"")</f>
        <v/>
      </c>
      <c r="G51" s="4" t="str">
        <f t="shared" si="2"/>
        <v/>
      </c>
      <c r="H51" s="4" t="str">
        <f>IF($C51=1,Table!L27,"")</f>
        <v/>
      </c>
      <c r="I51" s="4" t="str">
        <f>IF($C51=1,Table!M27,"")</f>
        <v/>
      </c>
      <c r="J51" s="4" t="str">
        <f>IF($C51=1,Table!N27,"")</f>
        <v/>
      </c>
      <c r="K51" s="4" t="str">
        <f>IF($C51=1,Table!O27,"")</f>
        <v/>
      </c>
      <c r="L51" s="4" t="str">
        <f>IF($C51=1,Table!P27,"")</f>
        <v/>
      </c>
      <c r="M51" s="21" t="str">
        <f>IF(C51=1,((Table!M27-Table!N27)/NORMSINV(0.3))^2,"")</f>
        <v/>
      </c>
    </row>
    <row r="52" spans="1:13" x14ac:dyDescent="0.4">
      <c r="A52">
        <f t="shared" si="3"/>
        <v>22</v>
      </c>
      <c r="B52" s="29">
        <f>MAX(0,Table!K28-75)</f>
        <v>0</v>
      </c>
      <c r="C52" t="str">
        <f t="shared" si="1"/>
        <v/>
      </c>
      <c r="D52" s="4" t="str">
        <f>IF($C52=1,Table!H28,"")</f>
        <v/>
      </c>
      <c r="E52" s="4" t="str">
        <f>IF($C52=1,Table!I28,"")</f>
        <v/>
      </c>
      <c r="F52" s="4" t="str">
        <f>IF($C52=1,Table!J28,"")</f>
        <v/>
      </c>
      <c r="G52" s="4" t="str">
        <f t="shared" si="2"/>
        <v/>
      </c>
      <c r="H52" s="4" t="str">
        <f>IF($C52=1,Table!L28,"")</f>
        <v/>
      </c>
      <c r="I52" s="4" t="str">
        <f>IF($C52=1,Table!M28,"")</f>
        <v/>
      </c>
      <c r="J52" s="4" t="str">
        <f>IF($C52=1,Table!N28,"")</f>
        <v/>
      </c>
      <c r="K52" s="4" t="str">
        <f>IF($C52=1,Table!O28,"")</f>
        <v/>
      </c>
      <c r="L52" s="4" t="str">
        <f>IF($C52=1,Table!P28,"")</f>
        <v/>
      </c>
      <c r="M52" s="21" t="str">
        <f>IF(C52=1,((Table!M28-Table!N28)/NORMSINV(0.3))^2,"")</f>
        <v/>
      </c>
    </row>
    <row r="53" spans="1:13" x14ac:dyDescent="0.4">
      <c r="A53">
        <f t="shared" si="3"/>
        <v>23</v>
      </c>
      <c r="B53" s="29">
        <f>MAX(0,Table!K29-75)</f>
        <v>0</v>
      </c>
      <c r="C53" t="str">
        <f t="shared" si="1"/>
        <v/>
      </c>
      <c r="D53" s="4" t="str">
        <f>IF($C53=1,Table!H29,"")</f>
        <v/>
      </c>
      <c r="E53" s="4" t="str">
        <f>IF($C53=1,Table!I29,"")</f>
        <v/>
      </c>
      <c r="F53" s="4" t="str">
        <f>IF($C53=1,Table!J29,"")</f>
        <v/>
      </c>
      <c r="G53" s="4" t="str">
        <f t="shared" si="2"/>
        <v/>
      </c>
      <c r="H53" s="4" t="str">
        <f>IF($C53=1,Table!L29,"")</f>
        <v/>
      </c>
      <c r="I53" s="4" t="str">
        <f>IF($C53=1,Table!M29,"")</f>
        <v/>
      </c>
      <c r="J53" s="4" t="str">
        <f>IF($C53=1,Table!N29,"")</f>
        <v/>
      </c>
      <c r="K53" s="4" t="str">
        <f>IF($C53=1,Table!O29,"")</f>
        <v/>
      </c>
      <c r="L53" s="4" t="str">
        <f>IF($C53=1,Table!P29,"")</f>
        <v/>
      </c>
      <c r="M53" s="21" t="str">
        <f>IF(C53=1,((Table!M29-Table!N29)/NORMSINV(0.3))^2,"")</f>
        <v/>
      </c>
    </row>
    <row r="54" spans="1:13" x14ac:dyDescent="0.4">
      <c r="A54">
        <f t="shared" si="3"/>
        <v>24</v>
      </c>
      <c r="B54" s="29">
        <f>MAX(0,Table!K30-75)</f>
        <v>0</v>
      </c>
      <c r="C54" t="str">
        <f t="shared" si="1"/>
        <v/>
      </c>
      <c r="D54" s="4" t="str">
        <f>IF($C54=1,Table!H30,"")</f>
        <v/>
      </c>
      <c r="E54" s="4" t="str">
        <f>IF($C54=1,Table!I30,"")</f>
        <v/>
      </c>
      <c r="F54" s="4" t="str">
        <f>IF($C54=1,Table!J30,"")</f>
        <v/>
      </c>
      <c r="G54" s="4" t="str">
        <f t="shared" si="2"/>
        <v/>
      </c>
      <c r="H54" s="4" t="str">
        <f>IF($C54=1,Table!L30,"")</f>
        <v/>
      </c>
      <c r="I54" s="4" t="str">
        <f>IF($C54=1,Table!M30,"")</f>
        <v/>
      </c>
      <c r="J54" s="4" t="str">
        <f>IF($C54=1,Table!N30,"")</f>
        <v/>
      </c>
      <c r="K54" s="4" t="str">
        <f>IF($C54=1,Table!O30,"")</f>
        <v/>
      </c>
      <c r="L54" s="4" t="str">
        <f>IF($C54=1,Table!P30,"")</f>
        <v/>
      </c>
      <c r="M54" s="21" t="str">
        <f>IF(C54=1,((Table!M30-Table!N30)/NORMSINV(0.3))^2,"")</f>
        <v/>
      </c>
    </row>
    <row r="55" spans="1:13" x14ac:dyDescent="0.4">
      <c r="A55" s="24" t="s">
        <v>231</v>
      </c>
      <c r="D55">
        <f>AVERAGE(D31:D54)</f>
        <v>251.70035000000001</v>
      </c>
      <c r="E55">
        <f>AVERAGE(E31:E54)</f>
        <v>79.048400000000001</v>
      </c>
      <c r="F55">
        <f>AVERAGE(F31:F54)</f>
        <v>172.65195</v>
      </c>
      <c r="G55" s="4">
        <f>SUM(G31:G54)</f>
        <v>12.367139999999992</v>
      </c>
      <c r="H55">
        <f t="shared" ref="H55:L55" si="4">AVERAGE(H31:H54)</f>
        <v>169.28255000000001</v>
      </c>
      <c r="I55">
        <f t="shared" si="4"/>
        <v>171.2732</v>
      </c>
      <c r="J55">
        <f t="shared" si="4"/>
        <v>172.65195</v>
      </c>
      <c r="K55">
        <f t="shared" si="4"/>
        <v>174.03075000000001</v>
      </c>
      <c r="L55">
        <f t="shared" si="4"/>
        <v>176.02145000000002</v>
      </c>
      <c r="M55" s="29">
        <f>SQRT((1/SUM(C31:C54)^2*SUM(M31:M54)))</f>
        <v>1.8596868455250033</v>
      </c>
    </row>
    <row r="56" spans="1:13" x14ac:dyDescent="0.4">
      <c r="G56" s="4"/>
      <c r="H56" s="4"/>
    </row>
    <row r="57" spans="1:13" x14ac:dyDescent="0.4">
      <c r="B57" t="s">
        <v>239</v>
      </c>
      <c r="C57">
        <v>0.1</v>
      </c>
      <c r="D57">
        <v>0.3</v>
      </c>
      <c r="E57">
        <v>0.5</v>
      </c>
      <c r="F57">
        <v>0.7</v>
      </c>
      <c r="G57" s="4">
        <v>0.9</v>
      </c>
      <c r="H57" s="4"/>
    </row>
    <row r="58" spans="1:13" x14ac:dyDescent="0.4">
      <c r="A58" s="24" t="s">
        <v>240</v>
      </c>
      <c r="B58">
        <f>IF(Result_type="Aggregate Impact",B59,B60)</f>
        <v>2.0086490000000001</v>
      </c>
      <c r="C58" s="29">
        <f>NORMINV(C57,$F$55,$B$58)</f>
        <v>170.07776272942041</v>
      </c>
      <c r="D58" s="29">
        <f t="shared" ref="D58:G58" si="5">NORMINV(D57,$F$55,$B$58)</f>
        <v>171.59861343454949</v>
      </c>
      <c r="E58" s="29">
        <f t="shared" si="5"/>
        <v>172.65195</v>
      </c>
      <c r="F58" s="29">
        <f t="shared" si="5"/>
        <v>173.70528656545048</v>
      </c>
      <c r="G58" s="29">
        <f t="shared" si="5"/>
        <v>175.22613727057958</v>
      </c>
      <c r="H58" s="4"/>
    </row>
    <row r="59" spans="1:13" x14ac:dyDescent="0.4">
      <c r="A59" s="24" t="s">
        <v>241</v>
      </c>
      <c r="B59">
        <f>DGET(data,"stderr_evt_hr",_xlnm.Criteria)</f>
        <v>2.0086490000000001</v>
      </c>
      <c r="G59" s="4"/>
      <c r="H59" s="4"/>
    </row>
    <row r="60" spans="1:13" x14ac:dyDescent="0.4">
      <c r="A60" s="24" t="s">
        <v>242</v>
      </c>
      <c r="B60">
        <f>B59*1000/Called</f>
        <v>3.9231425781250002</v>
      </c>
      <c r="G60" s="4"/>
      <c r="H60" s="4"/>
    </row>
    <row r="61" spans="1:13" x14ac:dyDescent="0.4">
      <c r="G61" s="4"/>
      <c r="H61" s="4"/>
    </row>
    <row r="62" spans="1:13" x14ac:dyDescent="0.4">
      <c r="B62" t="s">
        <v>239</v>
      </c>
      <c r="C62">
        <v>0.1</v>
      </c>
      <c r="D62">
        <v>0.3</v>
      </c>
      <c r="E62">
        <v>0.5</v>
      </c>
      <c r="F62">
        <v>0.7</v>
      </c>
      <c r="G62" s="4">
        <v>0.9</v>
      </c>
      <c r="H62" s="4"/>
    </row>
    <row r="63" spans="1:13" x14ac:dyDescent="0.4">
      <c r="A63" s="24" t="s">
        <v>240</v>
      </c>
      <c r="B63">
        <f>IF(Result_type="Aggregate Impact",B64,B65)</f>
        <v>64.937544000000003</v>
      </c>
      <c r="C63" s="29">
        <f>NORMINV(C62,Table!$J$33,$B$63)</f>
        <v>701.7486953241787</v>
      </c>
      <c r="D63">
        <f>NORMINV(D62,Table!$J$33,$B$63)</f>
        <v>750.91622513239906</v>
      </c>
      <c r="E63">
        <f>NORMINV(E62,Table!$J$33,$B$63)</f>
        <v>784.96950650000008</v>
      </c>
      <c r="F63">
        <f>NORMINV(F62,Table!$J$33,$B$63)</f>
        <v>819.02278786760098</v>
      </c>
      <c r="G63" s="4">
        <f>NORMINV(G62,Table!$J$33,$B$63)</f>
        <v>868.19031767582146</v>
      </c>
      <c r="H63" s="4"/>
    </row>
    <row r="64" spans="1:13" x14ac:dyDescent="0.4">
      <c r="A64" s="24" t="s">
        <v>241</v>
      </c>
      <c r="B64">
        <f>DGET(data,"stderr_evt_day",_xlnm.Criteria)*24</f>
        <v>64.937544000000003</v>
      </c>
      <c r="G64" s="4"/>
      <c r="H64" s="4"/>
    </row>
    <row r="65" spans="1:8" x14ac:dyDescent="0.4">
      <c r="A65" s="24" t="s">
        <v>242</v>
      </c>
      <c r="B65">
        <f>B64*1000/Called</f>
        <v>126.831140625</v>
      </c>
      <c r="G65" s="4"/>
      <c r="H65" s="4"/>
    </row>
    <row r="66" spans="1:8" x14ac:dyDescent="0.4">
      <c r="G66" s="4"/>
      <c r="H66" s="4"/>
    </row>
    <row r="67" spans="1:8" x14ac:dyDescent="0.4">
      <c r="G67" s="4"/>
      <c r="H67" s="4"/>
    </row>
    <row r="68" spans="1:8" x14ac:dyDescent="0.4">
      <c r="G68" s="4"/>
      <c r="H68" s="4"/>
    </row>
    <row r="69" spans="1:8" x14ac:dyDescent="0.4">
      <c r="G69" s="4"/>
      <c r="H69" s="4"/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X10138"/>
  <sheetViews>
    <sheetView zoomScaleNormal="100" workbookViewId="0">
      <pane xSplit="8" ySplit="1" topLeftCell="I2" activePane="bottomRight" state="frozen"/>
      <selection activeCell="C25" sqref="C25"/>
      <selection pane="topRight" activeCell="C25" sqref="C25"/>
      <selection pane="bottomLeft" activeCell="C25" sqref="C25"/>
      <selection pane="bottomRight" activeCell="C25" sqref="C25"/>
    </sheetView>
  </sheetViews>
  <sheetFormatPr defaultRowHeight="12.7" x14ac:dyDescent="0.4"/>
  <cols>
    <col min="1" max="1" width="31" bestFit="1" customWidth="1"/>
    <col min="2" max="4" width="15.5859375" customWidth="1"/>
    <col min="5" max="5" width="16.3515625" customWidth="1"/>
    <col min="6" max="6" width="11.8203125" customWidth="1"/>
    <col min="7" max="7" width="16" customWidth="1"/>
    <col min="8" max="8" width="10" customWidth="1"/>
    <col min="9" max="9" width="8" customWidth="1"/>
    <col min="10" max="33" width="10" customWidth="1"/>
    <col min="34" max="42" width="12.8203125" customWidth="1"/>
    <col min="43" max="57" width="14" customWidth="1"/>
    <col min="58" max="66" width="12.8203125" customWidth="1"/>
    <col min="67" max="81" width="14" customWidth="1"/>
    <col min="82" max="90" width="12.8203125" customWidth="1"/>
    <col min="91" max="105" width="14" customWidth="1"/>
    <col min="106" max="114" width="12.8203125" customWidth="1"/>
    <col min="115" max="129" width="14" customWidth="1"/>
    <col min="130" max="138" width="12.8203125" customWidth="1"/>
    <col min="139" max="153" width="14" customWidth="1"/>
    <col min="154" max="162" width="9" customWidth="1"/>
    <col min="163" max="177" width="9.703125" customWidth="1"/>
    <col min="178" max="179" width="12" bestFit="1" customWidth="1"/>
    <col min="180" max="180" width="9.234375" customWidth="1"/>
    <col min="181" max="183" width="10.17578125" bestFit="1" customWidth="1"/>
  </cols>
  <sheetData>
    <row r="1" spans="1:180" x14ac:dyDescent="0.4">
      <c r="A1" s="35" t="s">
        <v>246</v>
      </c>
      <c r="B1" t="s">
        <v>209</v>
      </c>
      <c r="C1" t="s">
        <v>210</v>
      </c>
      <c r="D1" t="s">
        <v>247</v>
      </c>
      <c r="E1" t="s">
        <v>211</v>
      </c>
      <c r="F1" t="s">
        <v>243</v>
      </c>
      <c r="G1" t="s">
        <v>234</v>
      </c>
      <c r="H1" t="s">
        <v>238</v>
      </c>
      <c r="I1" t="s">
        <v>164</v>
      </c>
      <c r="J1" t="s">
        <v>165</v>
      </c>
      <c r="K1" t="s">
        <v>166</v>
      </c>
      <c r="L1" t="s">
        <v>167</v>
      </c>
      <c r="M1" t="s">
        <v>168</v>
      </c>
      <c r="N1" t="s">
        <v>169</v>
      </c>
      <c r="O1" t="s">
        <v>170</v>
      </c>
      <c r="P1" t="s">
        <v>171</v>
      </c>
      <c r="Q1" t="s">
        <v>172</v>
      </c>
      <c r="R1" t="s">
        <v>173</v>
      </c>
      <c r="S1" t="s">
        <v>174</v>
      </c>
      <c r="T1" t="s">
        <v>175</v>
      </c>
      <c r="U1" t="s">
        <v>176</v>
      </c>
      <c r="V1" t="s">
        <v>177</v>
      </c>
      <c r="W1" t="s">
        <v>178</v>
      </c>
      <c r="X1" t="s">
        <v>179</v>
      </c>
      <c r="Y1" t="s">
        <v>180</v>
      </c>
      <c r="Z1" t="s">
        <v>181</v>
      </c>
      <c r="AA1" t="s">
        <v>182</v>
      </c>
      <c r="AB1" t="s">
        <v>183</v>
      </c>
      <c r="AC1" t="s">
        <v>184</v>
      </c>
      <c r="AD1" t="s">
        <v>185</v>
      </c>
      <c r="AE1" t="s">
        <v>186</v>
      </c>
      <c r="AF1" t="s">
        <v>187</v>
      </c>
      <c r="AG1" t="s">
        <v>19</v>
      </c>
      <c r="AH1" t="s">
        <v>20</v>
      </c>
      <c r="AI1" t="s">
        <v>21</v>
      </c>
      <c r="AJ1" t="s">
        <v>22</v>
      </c>
      <c r="AK1" t="s">
        <v>23</v>
      </c>
      <c r="AL1" t="s">
        <v>24</v>
      </c>
      <c r="AM1" t="s">
        <v>25</v>
      </c>
      <c r="AN1" t="s">
        <v>26</v>
      </c>
      <c r="AO1" t="s">
        <v>27</v>
      </c>
      <c r="AP1" t="s">
        <v>28</v>
      </c>
      <c r="AQ1" t="s">
        <v>29</v>
      </c>
      <c r="AR1" t="s">
        <v>30</v>
      </c>
      <c r="AS1" t="s">
        <v>31</v>
      </c>
      <c r="AT1" t="s">
        <v>32</v>
      </c>
      <c r="AU1" t="s">
        <v>33</v>
      </c>
      <c r="AV1" t="s">
        <v>34</v>
      </c>
      <c r="AW1" t="s">
        <v>35</v>
      </c>
      <c r="AX1" t="s">
        <v>36</v>
      </c>
      <c r="AY1" t="s">
        <v>37</v>
      </c>
      <c r="AZ1" t="s">
        <v>38</v>
      </c>
      <c r="BA1" t="s">
        <v>39</v>
      </c>
      <c r="BB1" t="s">
        <v>40</v>
      </c>
      <c r="BC1" t="s">
        <v>41</v>
      </c>
      <c r="BD1" t="s">
        <v>42</v>
      </c>
      <c r="BE1" t="s">
        <v>43</v>
      </c>
      <c r="BF1" t="s">
        <v>44</v>
      </c>
      <c r="BG1" t="s">
        <v>45</v>
      </c>
      <c r="BH1" t="s">
        <v>46</v>
      </c>
      <c r="BI1" t="s">
        <v>47</v>
      </c>
      <c r="BJ1" t="s">
        <v>48</v>
      </c>
      <c r="BK1" t="s">
        <v>49</v>
      </c>
      <c r="BL1" t="s">
        <v>50</v>
      </c>
      <c r="BM1" t="s">
        <v>51</v>
      </c>
      <c r="BN1" t="s">
        <v>52</v>
      </c>
      <c r="BO1" t="s">
        <v>53</v>
      </c>
      <c r="BP1" t="s">
        <v>54</v>
      </c>
      <c r="BQ1" t="s">
        <v>55</v>
      </c>
      <c r="BR1" t="s">
        <v>56</v>
      </c>
      <c r="BS1" t="s">
        <v>57</v>
      </c>
      <c r="BT1" t="s">
        <v>58</v>
      </c>
      <c r="BU1" t="s">
        <v>59</v>
      </c>
      <c r="BV1" t="s">
        <v>60</v>
      </c>
      <c r="BW1" t="s">
        <v>61</v>
      </c>
      <c r="BX1" t="s">
        <v>62</v>
      </c>
      <c r="BY1" t="s">
        <v>63</v>
      </c>
      <c r="BZ1" t="s">
        <v>64</v>
      </c>
      <c r="CA1" t="s">
        <v>65</v>
      </c>
      <c r="CB1" t="s">
        <v>66</v>
      </c>
      <c r="CC1" t="s">
        <v>67</v>
      </c>
      <c r="CD1" t="s">
        <v>68</v>
      </c>
      <c r="CE1" t="s">
        <v>69</v>
      </c>
      <c r="CF1" t="s">
        <v>70</v>
      </c>
      <c r="CG1" t="s">
        <v>71</v>
      </c>
      <c r="CH1" t="s">
        <v>72</v>
      </c>
      <c r="CI1" t="s">
        <v>73</v>
      </c>
      <c r="CJ1" t="s">
        <v>74</v>
      </c>
      <c r="CK1" t="s">
        <v>75</v>
      </c>
      <c r="CL1" t="s">
        <v>76</v>
      </c>
      <c r="CM1" t="s">
        <v>77</v>
      </c>
      <c r="CN1" t="s">
        <v>78</v>
      </c>
      <c r="CO1" t="s">
        <v>79</v>
      </c>
      <c r="CP1" t="s">
        <v>80</v>
      </c>
      <c r="CQ1" t="s">
        <v>81</v>
      </c>
      <c r="CR1" t="s">
        <v>82</v>
      </c>
      <c r="CS1" t="s">
        <v>83</v>
      </c>
      <c r="CT1" t="s">
        <v>84</v>
      </c>
      <c r="CU1" t="s">
        <v>85</v>
      </c>
      <c r="CV1" t="s">
        <v>86</v>
      </c>
      <c r="CW1" t="s">
        <v>87</v>
      </c>
      <c r="CX1" t="s">
        <v>88</v>
      </c>
      <c r="CY1" t="s">
        <v>89</v>
      </c>
      <c r="CZ1" t="s">
        <v>90</v>
      </c>
      <c r="DA1" t="s">
        <v>91</v>
      </c>
      <c r="DB1" t="s">
        <v>92</v>
      </c>
      <c r="DC1" t="s">
        <v>93</v>
      </c>
      <c r="DD1" t="s">
        <v>94</v>
      </c>
      <c r="DE1" t="s">
        <v>95</v>
      </c>
      <c r="DF1" t="s">
        <v>96</v>
      </c>
      <c r="DG1" t="s">
        <v>97</v>
      </c>
      <c r="DH1" t="s">
        <v>98</v>
      </c>
      <c r="DI1" t="s">
        <v>99</v>
      </c>
      <c r="DJ1" t="s">
        <v>100</v>
      </c>
      <c r="DK1" t="s">
        <v>101</v>
      </c>
      <c r="DL1" t="s">
        <v>102</v>
      </c>
      <c r="DM1" t="s">
        <v>103</v>
      </c>
      <c r="DN1" t="s">
        <v>104</v>
      </c>
      <c r="DO1" t="s">
        <v>105</v>
      </c>
      <c r="DP1" t="s">
        <v>106</v>
      </c>
      <c r="DQ1" t="s">
        <v>107</v>
      </c>
      <c r="DR1" t="s">
        <v>108</v>
      </c>
      <c r="DS1" t="s">
        <v>109</v>
      </c>
      <c r="DT1" t="s">
        <v>110</v>
      </c>
      <c r="DU1" t="s">
        <v>111</v>
      </c>
      <c r="DV1" t="s">
        <v>112</v>
      </c>
      <c r="DW1" t="s">
        <v>113</v>
      </c>
      <c r="DX1" t="s">
        <v>114</v>
      </c>
      <c r="DY1" t="s">
        <v>115</v>
      </c>
      <c r="DZ1" t="s">
        <v>116</v>
      </c>
      <c r="EA1" t="s">
        <v>117</v>
      </c>
      <c r="EB1" t="s">
        <v>118</v>
      </c>
      <c r="EC1" t="s">
        <v>119</v>
      </c>
      <c r="ED1" t="s">
        <v>120</v>
      </c>
      <c r="EE1" t="s">
        <v>121</v>
      </c>
      <c r="EF1" t="s">
        <v>122</v>
      </c>
      <c r="EG1" t="s">
        <v>123</v>
      </c>
      <c r="EH1" t="s">
        <v>124</v>
      </c>
      <c r="EI1" t="s">
        <v>125</v>
      </c>
      <c r="EJ1" t="s">
        <v>126</v>
      </c>
      <c r="EK1" t="s">
        <v>127</v>
      </c>
      <c r="EL1" t="s">
        <v>128</v>
      </c>
      <c r="EM1" t="s">
        <v>129</v>
      </c>
      <c r="EN1" t="s">
        <v>130</v>
      </c>
      <c r="EO1" t="s">
        <v>131</v>
      </c>
      <c r="EP1" t="s">
        <v>132</v>
      </c>
      <c r="EQ1" t="s">
        <v>133</v>
      </c>
      <c r="ER1" t="s">
        <v>134</v>
      </c>
      <c r="ES1" t="s">
        <v>135</v>
      </c>
      <c r="ET1" t="s">
        <v>136</v>
      </c>
      <c r="EU1" t="s">
        <v>137</v>
      </c>
      <c r="EV1" t="s">
        <v>138</v>
      </c>
      <c r="EW1" t="s">
        <v>139</v>
      </c>
      <c r="EX1" t="s">
        <v>140</v>
      </c>
      <c r="EY1" t="s">
        <v>141</v>
      </c>
      <c r="EZ1" t="s">
        <v>142</v>
      </c>
      <c r="FA1" t="s">
        <v>143</v>
      </c>
      <c r="FB1" t="s">
        <v>144</v>
      </c>
      <c r="FC1" t="s">
        <v>145</v>
      </c>
      <c r="FD1" t="s">
        <v>146</v>
      </c>
      <c r="FE1" t="s">
        <v>147</v>
      </c>
      <c r="FF1" t="s">
        <v>148</v>
      </c>
      <c r="FG1" t="s">
        <v>149</v>
      </c>
      <c r="FH1" t="s">
        <v>150</v>
      </c>
      <c r="FI1" t="s">
        <v>151</v>
      </c>
      <c r="FJ1" t="s">
        <v>152</v>
      </c>
      <c r="FK1" t="s">
        <v>153</v>
      </c>
      <c r="FL1" t="s">
        <v>154</v>
      </c>
      <c r="FM1" t="s">
        <v>155</v>
      </c>
      <c r="FN1" t="s">
        <v>156</v>
      </c>
      <c r="FO1" t="s">
        <v>157</v>
      </c>
      <c r="FP1" t="s">
        <v>158</v>
      </c>
      <c r="FQ1" t="s">
        <v>159</v>
      </c>
      <c r="FR1" t="s">
        <v>160</v>
      </c>
      <c r="FS1" t="s">
        <v>161</v>
      </c>
      <c r="FT1" t="s">
        <v>162</v>
      </c>
      <c r="FU1" t="s">
        <v>239</v>
      </c>
      <c r="FV1" s="24" t="s">
        <v>244</v>
      </c>
      <c r="FW1" t="s">
        <v>248</v>
      </c>
      <c r="FX1" t="s">
        <v>249</v>
      </c>
    </row>
    <row r="2" spans="1:180" x14ac:dyDescent="0.4">
      <c r="A2" t="s">
        <v>1</v>
      </c>
      <c r="B2" t="s">
        <v>1</v>
      </c>
      <c r="C2" t="s">
        <v>198</v>
      </c>
      <c r="D2" t="s">
        <v>1</v>
      </c>
      <c r="E2" s="36">
        <v>43807</v>
      </c>
      <c r="F2">
        <v>3</v>
      </c>
      <c r="G2" s="41">
        <v>3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  <c r="AS2">
        <v>0</v>
      </c>
      <c r="AT2">
        <v>0</v>
      </c>
      <c r="AU2">
        <v>0</v>
      </c>
      <c r="AV2">
        <v>0</v>
      </c>
      <c r="AW2">
        <v>0</v>
      </c>
      <c r="AX2">
        <v>0</v>
      </c>
      <c r="AY2">
        <v>0</v>
      </c>
      <c r="AZ2">
        <v>0</v>
      </c>
      <c r="BA2">
        <v>0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BX2">
        <v>0</v>
      </c>
      <c r="BY2">
        <v>0</v>
      </c>
      <c r="BZ2">
        <v>0</v>
      </c>
      <c r="CA2">
        <v>0</v>
      </c>
      <c r="CB2">
        <v>0</v>
      </c>
      <c r="CC2">
        <v>0</v>
      </c>
      <c r="CD2">
        <v>0</v>
      </c>
      <c r="CE2">
        <v>0</v>
      </c>
      <c r="CF2">
        <v>0</v>
      </c>
      <c r="CG2">
        <v>0</v>
      </c>
      <c r="CH2">
        <v>0</v>
      </c>
      <c r="CI2">
        <v>0</v>
      </c>
      <c r="CJ2">
        <v>0</v>
      </c>
      <c r="CK2">
        <v>0</v>
      </c>
      <c r="CL2">
        <v>0</v>
      </c>
      <c r="CM2">
        <v>0</v>
      </c>
      <c r="CN2">
        <v>0</v>
      </c>
      <c r="CO2">
        <v>0</v>
      </c>
      <c r="CP2">
        <v>0</v>
      </c>
      <c r="CQ2">
        <v>0</v>
      </c>
      <c r="CR2">
        <v>0</v>
      </c>
      <c r="CS2">
        <v>0</v>
      </c>
      <c r="CT2">
        <v>0</v>
      </c>
      <c r="CU2">
        <v>0</v>
      </c>
      <c r="CV2">
        <v>0</v>
      </c>
      <c r="CW2">
        <v>0</v>
      </c>
      <c r="CX2">
        <v>0</v>
      </c>
      <c r="CY2">
        <v>0</v>
      </c>
      <c r="CZ2">
        <v>0</v>
      </c>
      <c r="DA2">
        <v>0</v>
      </c>
      <c r="DB2">
        <v>0</v>
      </c>
      <c r="DC2">
        <v>0</v>
      </c>
      <c r="DD2">
        <v>0</v>
      </c>
      <c r="DE2">
        <v>0</v>
      </c>
      <c r="DF2">
        <v>0</v>
      </c>
      <c r="DG2">
        <v>0</v>
      </c>
      <c r="DH2">
        <v>0</v>
      </c>
      <c r="DI2">
        <v>0</v>
      </c>
      <c r="DJ2">
        <v>0</v>
      </c>
      <c r="DK2">
        <v>0</v>
      </c>
      <c r="DL2">
        <v>0</v>
      </c>
      <c r="DM2">
        <v>0</v>
      </c>
      <c r="DN2">
        <v>0</v>
      </c>
      <c r="DO2">
        <v>0</v>
      </c>
      <c r="DP2">
        <v>0</v>
      </c>
      <c r="DQ2">
        <v>0</v>
      </c>
      <c r="DR2">
        <v>0</v>
      </c>
      <c r="DS2">
        <v>0</v>
      </c>
      <c r="DT2">
        <v>0</v>
      </c>
      <c r="DU2">
        <v>0</v>
      </c>
      <c r="DV2">
        <v>0</v>
      </c>
      <c r="DW2">
        <v>0</v>
      </c>
      <c r="DX2">
        <v>0</v>
      </c>
      <c r="DY2">
        <v>0</v>
      </c>
      <c r="DZ2">
        <v>0</v>
      </c>
      <c r="EA2">
        <v>0</v>
      </c>
      <c r="EB2">
        <v>0</v>
      </c>
      <c r="EC2">
        <v>0</v>
      </c>
      <c r="ED2">
        <v>0</v>
      </c>
      <c r="EE2">
        <v>0</v>
      </c>
      <c r="EF2">
        <v>0</v>
      </c>
      <c r="EG2">
        <v>0</v>
      </c>
      <c r="EH2">
        <v>0</v>
      </c>
      <c r="EI2">
        <v>0</v>
      </c>
      <c r="EJ2">
        <v>0</v>
      </c>
      <c r="EK2">
        <v>0</v>
      </c>
      <c r="EL2">
        <v>0</v>
      </c>
      <c r="EM2">
        <v>0</v>
      </c>
      <c r="EN2">
        <v>0</v>
      </c>
      <c r="EO2">
        <v>0</v>
      </c>
      <c r="EP2">
        <v>0</v>
      </c>
      <c r="EQ2">
        <v>0</v>
      </c>
      <c r="ER2">
        <v>0</v>
      </c>
      <c r="ES2">
        <v>0</v>
      </c>
      <c r="ET2">
        <v>0</v>
      </c>
      <c r="EU2">
        <v>0</v>
      </c>
      <c r="EV2">
        <v>0</v>
      </c>
      <c r="EW2">
        <v>56</v>
      </c>
      <c r="EX2">
        <v>55</v>
      </c>
      <c r="EY2">
        <v>55</v>
      </c>
      <c r="EZ2">
        <v>55</v>
      </c>
      <c r="FA2">
        <v>54</v>
      </c>
      <c r="FB2">
        <v>53</v>
      </c>
      <c r="FC2">
        <v>53</v>
      </c>
      <c r="FD2">
        <v>53</v>
      </c>
      <c r="FE2">
        <v>55</v>
      </c>
      <c r="FF2">
        <v>58</v>
      </c>
      <c r="FG2">
        <v>61</v>
      </c>
      <c r="FH2">
        <v>62</v>
      </c>
      <c r="FI2">
        <v>58</v>
      </c>
      <c r="FJ2">
        <v>56</v>
      </c>
      <c r="FK2">
        <v>57</v>
      </c>
      <c r="FL2">
        <v>59</v>
      </c>
      <c r="FM2">
        <v>56</v>
      </c>
      <c r="FN2">
        <v>55</v>
      </c>
      <c r="FO2">
        <v>53</v>
      </c>
      <c r="FP2">
        <v>52</v>
      </c>
      <c r="FQ2">
        <v>53</v>
      </c>
      <c r="FR2">
        <v>52</v>
      </c>
      <c r="FS2">
        <v>52</v>
      </c>
      <c r="FT2">
        <v>51</v>
      </c>
      <c r="FU2">
        <v>0</v>
      </c>
      <c r="FV2" s="24">
        <v>0</v>
      </c>
      <c r="FW2">
        <v>1</v>
      </c>
      <c r="FX2">
        <v>0</v>
      </c>
    </row>
    <row r="3" spans="1:180" x14ac:dyDescent="0.4">
      <c r="A3" t="s">
        <v>1</v>
      </c>
      <c r="B3" t="s">
        <v>1</v>
      </c>
      <c r="C3" t="s">
        <v>198</v>
      </c>
      <c r="D3" t="s">
        <v>1</v>
      </c>
      <c r="E3" s="36">
        <v>43519</v>
      </c>
      <c r="F3">
        <v>54</v>
      </c>
      <c r="G3" s="41">
        <v>153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  <c r="AU3">
        <v>0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BX3">
        <v>0</v>
      </c>
      <c r="BY3">
        <v>0</v>
      </c>
      <c r="BZ3">
        <v>0</v>
      </c>
      <c r="CA3">
        <v>0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0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0</v>
      </c>
      <c r="DD3">
        <v>0</v>
      </c>
      <c r="DE3">
        <v>0</v>
      </c>
      <c r="DF3">
        <v>0</v>
      </c>
      <c r="DG3">
        <v>0</v>
      </c>
      <c r="DH3">
        <v>0</v>
      </c>
      <c r="DI3">
        <v>0</v>
      </c>
      <c r="DJ3">
        <v>0</v>
      </c>
      <c r="DK3">
        <v>0</v>
      </c>
      <c r="DL3">
        <v>0</v>
      </c>
      <c r="DM3">
        <v>0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0</v>
      </c>
      <c r="EM3">
        <v>0</v>
      </c>
      <c r="EN3">
        <v>0</v>
      </c>
      <c r="EO3">
        <v>0</v>
      </c>
      <c r="EP3">
        <v>0</v>
      </c>
      <c r="EQ3">
        <v>0</v>
      </c>
      <c r="ER3">
        <v>0</v>
      </c>
      <c r="ES3">
        <v>0</v>
      </c>
      <c r="ET3">
        <v>0</v>
      </c>
      <c r="EU3">
        <v>0</v>
      </c>
      <c r="EV3">
        <v>0</v>
      </c>
      <c r="EW3">
        <v>38.867469999999997</v>
      </c>
      <c r="EX3">
        <v>38.747050000000002</v>
      </c>
      <c r="EY3">
        <v>39.577460000000002</v>
      </c>
      <c r="EZ3">
        <v>37.742469999999997</v>
      </c>
      <c r="FA3">
        <v>36.7425</v>
      </c>
      <c r="FB3">
        <v>35.671750000000003</v>
      </c>
      <c r="FC3">
        <v>33.948079999999997</v>
      </c>
      <c r="FD3">
        <v>40.876240000000003</v>
      </c>
      <c r="FE3">
        <v>43.189520000000002</v>
      </c>
      <c r="FF3">
        <v>47.335239999999999</v>
      </c>
      <c r="FG3">
        <v>52.370139999999999</v>
      </c>
      <c r="FH3">
        <v>54.460090000000001</v>
      </c>
      <c r="FI3">
        <v>55.367570000000001</v>
      </c>
      <c r="FJ3">
        <v>57.18045</v>
      </c>
      <c r="FK3">
        <v>58.106119999999997</v>
      </c>
      <c r="FL3">
        <v>57.966850000000001</v>
      </c>
      <c r="FM3">
        <v>57.834919999999997</v>
      </c>
      <c r="FN3">
        <v>54.836390000000002</v>
      </c>
      <c r="FO3">
        <v>52.818750000000001</v>
      </c>
      <c r="FP3">
        <v>51.74241</v>
      </c>
      <c r="FQ3">
        <v>50.454819999999998</v>
      </c>
      <c r="FR3">
        <v>46.620289999999997</v>
      </c>
      <c r="FS3">
        <v>45.758400000000002</v>
      </c>
      <c r="FT3">
        <v>44.854669999999999</v>
      </c>
      <c r="FU3">
        <v>0</v>
      </c>
      <c r="FV3" s="24">
        <v>0</v>
      </c>
      <c r="FW3">
        <v>0.69201170000000001</v>
      </c>
      <c r="FX3">
        <v>0</v>
      </c>
    </row>
    <row r="4" spans="1:180" x14ac:dyDescent="0.4">
      <c r="A4" t="s">
        <v>1</v>
      </c>
      <c r="B4" t="s">
        <v>1</v>
      </c>
      <c r="C4" t="s">
        <v>198</v>
      </c>
      <c r="D4" t="s">
        <v>1</v>
      </c>
      <c r="E4" s="36">
        <v>43622</v>
      </c>
      <c r="F4">
        <v>0</v>
      </c>
      <c r="G4" s="41">
        <v>163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 s="24">
        <v>0</v>
      </c>
      <c r="FW4">
        <v>0</v>
      </c>
      <c r="FX4">
        <v>0</v>
      </c>
    </row>
    <row r="5" spans="1:180" x14ac:dyDescent="0.4">
      <c r="A5" t="s">
        <v>1</v>
      </c>
      <c r="B5" t="s">
        <v>1</v>
      </c>
      <c r="C5" t="s">
        <v>198</v>
      </c>
      <c r="D5" t="s">
        <v>1</v>
      </c>
      <c r="E5" s="36">
        <v>43536</v>
      </c>
      <c r="F5">
        <v>99</v>
      </c>
      <c r="G5" s="41">
        <v>154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0</v>
      </c>
      <c r="DK5">
        <v>0</v>
      </c>
      <c r="DL5">
        <v>0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0</v>
      </c>
      <c r="EQ5">
        <v>0</v>
      </c>
      <c r="ER5">
        <v>0</v>
      </c>
      <c r="ES5">
        <v>0</v>
      </c>
      <c r="ET5">
        <v>0</v>
      </c>
      <c r="EU5">
        <v>0</v>
      </c>
      <c r="EV5">
        <v>0</v>
      </c>
      <c r="EW5">
        <v>50.828200000000002</v>
      </c>
      <c r="EX5">
        <v>49.994160000000001</v>
      </c>
      <c r="EY5">
        <v>48.03537</v>
      </c>
      <c r="EZ5">
        <v>46.529580000000003</v>
      </c>
      <c r="FA5">
        <v>45.803890000000003</v>
      </c>
      <c r="FB5">
        <v>44.852739999999997</v>
      </c>
      <c r="FC5">
        <v>43.718629999999997</v>
      </c>
      <c r="FD5">
        <v>42.54777</v>
      </c>
      <c r="FE5">
        <v>42.538739999999997</v>
      </c>
      <c r="FF5">
        <v>49.150599999999997</v>
      </c>
      <c r="FG5">
        <v>55.1496</v>
      </c>
      <c r="FH5">
        <v>58.944710000000001</v>
      </c>
      <c r="FI5">
        <v>61.725589999999997</v>
      </c>
      <c r="FJ5">
        <v>63.34328</v>
      </c>
      <c r="FK5">
        <v>64.814830000000001</v>
      </c>
      <c r="FL5">
        <v>66.333200000000005</v>
      </c>
      <c r="FM5">
        <v>65.360119999999995</v>
      </c>
      <c r="FN5">
        <v>63.965670000000003</v>
      </c>
      <c r="FO5">
        <v>61.454859999999996</v>
      </c>
      <c r="FP5">
        <v>57.746360000000003</v>
      </c>
      <c r="FQ5">
        <v>57.036189999999998</v>
      </c>
      <c r="FR5">
        <v>54.47974</v>
      </c>
      <c r="FS5">
        <v>52.634459999999997</v>
      </c>
      <c r="FT5">
        <v>51.153440000000003</v>
      </c>
      <c r="FU5">
        <v>0</v>
      </c>
      <c r="FV5" s="24">
        <v>0</v>
      </c>
      <c r="FW5">
        <v>0.22193969999999999</v>
      </c>
      <c r="FX5">
        <v>0</v>
      </c>
    </row>
    <row r="6" spans="1:180" x14ac:dyDescent="0.4">
      <c r="A6" t="s">
        <v>1</v>
      </c>
      <c r="B6" t="s">
        <v>1</v>
      </c>
      <c r="C6" t="s">
        <v>198</v>
      </c>
      <c r="D6" t="s">
        <v>1</v>
      </c>
      <c r="E6" s="36">
        <v>43744</v>
      </c>
      <c r="F6">
        <v>196</v>
      </c>
      <c r="G6" s="41">
        <v>196</v>
      </c>
      <c r="H6">
        <v>0.75800000000000001</v>
      </c>
      <c r="I6">
        <v>4.3453869999999997</v>
      </c>
      <c r="J6">
        <v>4.3378730000000001</v>
      </c>
      <c r="K6">
        <v>4.2365820000000003</v>
      </c>
      <c r="L6">
        <v>4.1797690000000003</v>
      </c>
      <c r="M6">
        <v>4.0170130000000004</v>
      </c>
      <c r="N6">
        <v>3.933824</v>
      </c>
      <c r="O6">
        <v>3.7384569999999999</v>
      </c>
      <c r="P6">
        <v>3.72939</v>
      </c>
      <c r="Q6">
        <v>3.5185080000000002</v>
      </c>
      <c r="R6">
        <v>3.3256960000000002</v>
      </c>
      <c r="S6">
        <v>2.9418340000000001</v>
      </c>
      <c r="T6">
        <v>2.7309100000000002</v>
      </c>
      <c r="U6">
        <v>2.753746</v>
      </c>
      <c r="V6">
        <v>2.7799070000000001</v>
      </c>
      <c r="W6">
        <v>2.777282</v>
      </c>
      <c r="X6">
        <v>3.005255</v>
      </c>
      <c r="Y6">
        <v>3.3477049999999999</v>
      </c>
      <c r="Z6">
        <v>3.6629269999999998</v>
      </c>
      <c r="AA6">
        <v>3.966345</v>
      </c>
      <c r="AB6">
        <v>4.0126980000000003</v>
      </c>
      <c r="AC6">
        <v>3.9678399999999998</v>
      </c>
      <c r="AD6">
        <v>3.9392960000000001</v>
      </c>
      <c r="AE6">
        <v>3.8659400000000002</v>
      </c>
      <c r="AF6">
        <v>4.0294480000000004</v>
      </c>
      <c r="AG6">
        <v>9.5058199999999995E-2</v>
      </c>
      <c r="AH6">
        <v>7.1319800000000003E-2</v>
      </c>
      <c r="AI6">
        <v>1.07031E-2</v>
      </c>
      <c r="AJ6">
        <v>6.6003900000000004E-2</v>
      </c>
      <c r="AK6">
        <v>5.7529999999999998E-2</v>
      </c>
      <c r="AL6">
        <v>-3.0675999999999998E-2</v>
      </c>
      <c r="AM6">
        <v>-0.21801670000000001</v>
      </c>
      <c r="AN6">
        <v>-0.25208130000000001</v>
      </c>
      <c r="AO6">
        <v>-0.32140049999999998</v>
      </c>
      <c r="AP6">
        <v>-0.1236068</v>
      </c>
      <c r="AQ6">
        <v>-0.19635720000000001</v>
      </c>
      <c r="AR6">
        <v>-0.2453591</v>
      </c>
      <c r="AS6">
        <v>-0.193327</v>
      </c>
      <c r="AT6">
        <v>-0.30993349999999997</v>
      </c>
      <c r="AU6">
        <v>-0.4162574</v>
      </c>
      <c r="AV6">
        <v>-0.24948609999999999</v>
      </c>
      <c r="AW6">
        <v>4.73979E-2</v>
      </c>
      <c r="AX6">
        <v>2.9247369999999999</v>
      </c>
      <c r="AY6">
        <v>3.0992120000000001</v>
      </c>
      <c r="AZ6">
        <v>1.6294230000000001</v>
      </c>
      <c r="BA6">
        <v>0.94095680000000004</v>
      </c>
      <c r="BB6">
        <v>0.90165249999999997</v>
      </c>
      <c r="BC6">
        <v>0.877718</v>
      </c>
      <c r="BD6">
        <v>1.0959080000000001</v>
      </c>
      <c r="BE6">
        <v>0.14310729999999999</v>
      </c>
      <c r="BF6">
        <v>0.1149169</v>
      </c>
      <c r="BG6">
        <v>5.3315800000000003E-2</v>
      </c>
      <c r="BH6">
        <v>0.10326589999999999</v>
      </c>
      <c r="BI6">
        <v>9.4287200000000002E-2</v>
      </c>
      <c r="BJ6">
        <v>5.1561999999999997E-3</v>
      </c>
      <c r="BK6">
        <v>-0.18103620000000001</v>
      </c>
      <c r="BL6">
        <v>-0.20215939999999999</v>
      </c>
      <c r="BM6">
        <v>-0.24802979999999999</v>
      </c>
      <c r="BN6">
        <v>-1.9177400000000001E-2</v>
      </c>
      <c r="BO6">
        <v>-8.4798200000000004E-2</v>
      </c>
      <c r="BP6">
        <v>-0.13282630000000001</v>
      </c>
      <c r="BQ6">
        <v>-7.8710500000000003E-2</v>
      </c>
      <c r="BR6">
        <v>-0.1926361</v>
      </c>
      <c r="BS6">
        <v>-0.3023035</v>
      </c>
      <c r="BT6">
        <v>-0.13265740000000001</v>
      </c>
      <c r="BU6">
        <v>0.1637459</v>
      </c>
      <c r="BV6">
        <v>3.039336</v>
      </c>
      <c r="BW6">
        <v>3.2116220000000002</v>
      </c>
      <c r="BX6">
        <v>1.7427550000000001</v>
      </c>
      <c r="BY6">
        <v>1.0570900000000001</v>
      </c>
      <c r="BZ6">
        <v>1.014718</v>
      </c>
      <c r="CA6">
        <v>0.99046100000000004</v>
      </c>
      <c r="CB6">
        <v>1.207295</v>
      </c>
      <c r="CC6">
        <v>0.17638590000000001</v>
      </c>
      <c r="CD6">
        <v>0.14511209999999999</v>
      </c>
      <c r="CE6">
        <v>8.2829200000000006E-2</v>
      </c>
      <c r="CF6">
        <v>0.12907350000000001</v>
      </c>
      <c r="CG6">
        <v>0.11974509999999999</v>
      </c>
      <c r="CH6">
        <v>2.99735E-2</v>
      </c>
      <c r="CI6">
        <v>-0.1554236</v>
      </c>
      <c r="CJ6">
        <v>-0.1675836</v>
      </c>
      <c r="CK6">
        <v>-0.19721350000000001</v>
      </c>
      <c r="CL6">
        <v>5.3150200000000002E-2</v>
      </c>
      <c r="CM6">
        <v>-7.5326999999999998E-3</v>
      </c>
      <c r="CN6">
        <v>-5.4886400000000002E-2</v>
      </c>
      <c r="CO6">
        <v>6.7250000000000003E-4</v>
      </c>
      <c r="CP6">
        <v>-0.1113962</v>
      </c>
      <c r="CQ6">
        <v>-0.22337950000000001</v>
      </c>
      <c r="CR6">
        <v>-5.1742200000000002E-2</v>
      </c>
      <c r="CS6">
        <v>0.2443282</v>
      </c>
      <c r="CT6">
        <v>3.118706</v>
      </c>
      <c r="CU6">
        <v>3.2894760000000001</v>
      </c>
      <c r="CV6">
        <v>1.821248</v>
      </c>
      <c r="CW6">
        <v>1.1375230000000001</v>
      </c>
      <c r="CX6">
        <v>1.093027</v>
      </c>
      <c r="CY6">
        <v>1.068546</v>
      </c>
      <c r="CZ6">
        <v>1.28444</v>
      </c>
      <c r="DA6">
        <v>0.20966460000000001</v>
      </c>
      <c r="DB6">
        <v>0.1753073</v>
      </c>
      <c r="DC6">
        <v>0.1123426</v>
      </c>
      <c r="DD6">
        <v>0.15488109999999999</v>
      </c>
      <c r="DE6">
        <v>0.1452029</v>
      </c>
      <c r="DF6">
        <v>5.4790800000000001E-2</v>
      </c>
      <c r="DG6">
        <v>-0.12981110000000001</v>
      </c>
      <c r="DH6">
        <v>-0.13300790000000001</v>
      </c>
      <c r="DI6">
        <v>-0.14639730000000001</v>
      </c>
      <c r="DJ6">
        <v>0.1254777</v>
      </c>
      <c r="DK6">
        <v>6.9732799999999998E-2</v>
      </c>
      <c r="DL6">
        <v>2.3053500000000001E-2</v>
      </c>
      <c r="DM6">
        <v>8.0055500000000002E-2</v>
      </c>
      <c r="DN6">
        <v>-3.01564E-2</v>
      </c>
      <c r="DO6">
        <v>-0.14445540000000001</v>
      </c>
      <c r="DP6">
        <v>2.9173000000000001E-2</v>
      </c>
      <c r="DQ6">
        <v>0.32491059999999999</v>
      </c>
      <c r="DR6">
        <v>3.1980770000000001</v>
      </c>
      <c r="DS6">
        <v>3.3673299999999999</v>
      </c>
      <c r="DT6">
        <v>1.899742</v>
      </c>
      <c r="DU6">
        <v>1.217956</v>
      </c>
      <c r="DV6">
        <v>1.1713370000000001</v>
      </c>
      <c r="DW6">
        <v>1.1466320000000001</v>
      </c>
      <c r="DX6">
        <v>1.361586</v>
      </c>
      <c r="DY6">
        <v>0.25771359999999999</v>
      </c>
      <c r="DZ6">
        <v>0.2189044</v>
      </c>
      <c r="EA6">
        <v>0.15495529999999999</v>
      </c>
      <c r="EB6">
        <v>0.19214310000000001</v>
      </c>
      <c r="EC6">
        <v>0.18196010000000001</v>
      </c>
      <c r="ED6">
        <v>9.0623099999999998E-2</v>
      </c>
      <c r="EE6">
        <v>-9.2830599999999999E-2</v>
      </c>
      <c r="EF6">
        <v>-8.3085999999999993E-2</v>
      </c>
      <c r="EG6">
        <v>-7.3026599999999997E-2</v>
      </c>
      <c r="EH6">
        <v>0.2299071</v>
      </c>
      <c r="EI6">
        <v>0.1812918</v>
      </c>
      <c r="EJ6">
        <v>0.13558629999999999</v>
      </c>
      <c r="EK6">
        <v>0.19467200000000001</v>
      </c>
      <c r="EL6">
        <v>8.7140999999999996E-2</v>
      </c>
      <c r="EM6">
        <v>-3.05016E-2</v>
      </c>
      <c r="EN6">
        <v>0.14600179999999999</v>
      </c>
      <c r="EO6">
        <v>0.4412586</v>
      </c>
      <c r="EP6">
        <v>3.312675</v>
      </c>
      <c r="EQ6">
        <v>3.4797389999999999</v>
      </c>
      <c r="ER6">
        <v>2.013074</v>
      </c>
      <c r="ES6">
        <v>1.3340890000000001</v>
      </c>
      <c r="ET6">
        <v>1.284402</v>
      </c>
      <c r="EU6">
        <v>1.2593749999999999</v>
      </c>
      <c r="EV6">
        <v>1.4729719999999999</v>
      </c>
      <c r="EW6">
        <v>61.966059999999999</v>
      </c>
      <c r="EX6">
        <v>60.871769999999998</v>
      </c>
      <c r="EY6">
        <v>59.186340000000001</v>
      </c>
      <c r="EZ6">
        <v>57.906860000000002</v>
      </c>
      <c r="FA6">
        <v>56.842440000000003</v>
      </c>
      <c r="FB6">
        <v>55.91742</v>
      </c>
      <c r="FC6">
        <v>55.595410000000001</v>
      </c>
      <c r="FD6">
        <v>56.839750000000002</v>
      </c>
      <c r="FE6">
        <v>62.6357</v>
      </c>
      <c r="FF6">
        <v>68.317049999999995</v>
      </c>
      <c r="FG6">
        <v>73.444370000000006</v>
      </c>
      <c r="FH6">
        <v>77.465599999999995</v>
      </c>
      <c r="FI6">
        <v>80.708770000000001</v>
      </c>
      <c r="FJ6">
        <v>82.682239999999993</v>
      </c>
      <c r="FK6">
        <v>85.596959999999996</v>
      </c>
      <c r="FL6">
        <v>86.570340000000002</v>
      </c>
      <c r="FM6">
        <v>87.513620000000003</v>
      </c>
      <c r="FN6">
        <v>84.769829999999999</v>
      </c>
      <c r="FO6">
        <v>80.386030000000005</v>
      </c>
      <c r="FP6">
        <v>77.767110000000002</v>
      </c>
      <c r="FQ6">
        <v>75.256479999999996</v>
      </c>
      <c r="FR6">
        <v>73.786510000000007</v>
      </c>
      <c r="FS6">
        <v>70.691220000000001</v>
      </c>
      <c r="FT6">
        <v>69.294659999999993</v>
      </c>
      <c r="FU6">
        <v>0.1175828</v>
      </c>
      <c r="FV6" s="24">
        <v>5.8032399999999998E-2</v>
      </c>
      <c r="FW6">
        <v>5.5514000000000001E-2</v>
      </c>
      <c r="FX6">
        <v>1</v>
      </c>
    </row>
    <row r="7" spans="1:180" x14ac:dyDescent="0.4">
      <c r="A7" t="s">
        <v>1</v>
      </c>
      <c r="B7" t="s">
        <v>1</v>
      </c>
      <c r="C7" t="s">
        <v>198</v>
      </c>
      <c r="D7" t="s">
        <v>1</v>
      </c>
      <c r="E7" s="36" t="s">
        <v>2</v>
      </c>
      <c r="F7">
        <v>196</v>
      </c>
      <c r="G7" s="41">
        <v>196</v>
      </c>
      <c r="H7">
        <v>0.75800000000000001</v>
      </c>
      <c r="I7">
        <v>4.3453869999999997</v>
      </c>
      <c r="J7">
        <v>4.3378730000000001</v>
      </c>
      <c r="K7">
        <v>4.2365820000000003</v>
      </c>
      <c r="L7">
        <v>4.1797690000000003</v>
      </c>
      <c r="M7">
        <v>4.0170130000000004</v>
      </c>
      <c r="N7">
        <v>3.933824</v>
      </c>
      <c r="O7">
        <v>3.7384569999999999</v>
      </c>
      <c r="P7">
        <v>3.72939</v>
      </c>
      <c r="Q7">
        <v>3.5185080000000002</v>
      </c>
      <c r="R7">
        <v>3.3256960000000002</v>
      </c>
      <c r="S7">
        <v>2.9418340000000001</v>
      </c>
      <c r="T7">
        <v>2.7309100000000002</v>
      </c>
      <c r="U7">
        <v>2.753746</v>
      </c>
      <c r="V7">
        <v>2.7799070000000001</v>
      </c>
      <c r="W7">
        <v>2.777282</v>
      </c>
      <c r="X7">
        <v>3.005255</v>
      </c>
      <c r="Y7">
        <v>3.3477049999999999</v>
      </c>
      <c r="Z7">
        <v>3.6629269999999998</v>
      </c>
      <c r="AA7">
        <v>3.966345</v>
      </c>
      <c r="AB7">
        <v>4.0126980000000003</v>
      </c>
      <c r="AC7">
        <v>3.9678399999999998</v>
      </c>
      <c r="AD7">
        <v>3.9392960000000001</v>
      </c>
      <c r="AE7">
        <v>3.8659400000000002</v>
      </c>
      <c r="AF7">
        <v>4.0294480000000004</v>
      </c>
      <c r="AG7">
        <v>9.5246300000000006E-2</v>
      </c>
      <c r="AH7">
        <v>7.1461800000000006E-2</v>
      </c>
      <c r="AI7">
        <v>1.08133E-2</v>
      </c>
      <c r="AJ7">
        <v>6.6111400000000001E-2</v>
      </c>
      <c r="AK7">
        <v>5.7647700000000003E-2</v>
      </c>
      <c r="AL7">
        <v>-3.0555800000000001E-2</v>
      </c>
      <c r="AM7">
        <v>-0.21791469999999999</v>
      </c>
      <c r="AN7">
        <v>-0.25195400000000001</v>
      </c>
      <c r="AO7">
        <v>-0.32123649999999998</v>
      </c>
      <c r="AP7">
        <v>-0.1232656</v>
      </c>
      <c r="AQ7">
        <v>-0.1959719</v>
      </c>
      <c r="AR7">
        <v>-0.2449712</v>
      </c>
      <c r="AS7">
        <v>-0.19291759999999999</v>
      </c>
      <c r="AT7">
        <v>-0.30948870000000001</v>
      </c>
      <c r="AU7">
        <v>-0.41581489999999999</v>
      </c>
      <c r="AV7">
        <v>-0.2490964</v>
      </c>
      <c r="AW7">
        <v>4.77876E-2</v>
      </c>
      <c r="AX7">
        <v>2.9251369999999999</v>
      </c>
      <c r="AY7">
        <v>3.099637</v>
      </c>
      <c r="AZ7">
        <v>1.629848</v>
      </c>
      <c r="BA7">
        <v>0.94137839999999995</v>
      </c>
      <c r="BB7">
        <v>0.90204850000000003</v>
      </c>
      <c r="BC7">
        <v>0.87814150000000002</v>
      </c>
      <c r="BD7">
        <v>1.096317</v>
      </c>
      <c r="BE7">
        <v>0.14318429999999999</v>
      </c>
      <c r="BF7">
        <v>0.11497499999999999</v>
      </c>
      <c r="BG7">
        <v>5.3360900000000003E-2</v>
      </c>
      <c r="BH7">
        <v>0.1033099</v>
      </c>
      <c r="BI7">
        <v>9.4335299999999997E-2</v>
      </c>
      <c r="BJ7">
        <v>5.2053999999999998E-3</v>
      </c>
      <c r="BK7">
        <v>-0.1809945</v>
      </c>
      <c r="BL7">
        <v>-0.20210729999999999</v>
      </c>
      <c r="BM7">
        <v>-0.24796270000000001</v>
      </c>
      <c r="BN7">
        <v>-1.9037700000000001E-2</v>
      </c>
      <c r="BO7">
        <v>-8.4640499999999994E-2</v>
      </c>
      <c r="BP7">
        <v>-0.1326676</v>
      </c>
      <c r="BQ7">
        <v>-7.8543000000000002E-2</v>
      </c>
      <c r="BR7">
        <v>-0.19245409999999999</v>
      </c>
      <c r="BS7">
        <v>-0.30212250000000002</v>
      </c>
      <c r="BT7">
        <v>-0.1324979</v>
      </c>
      <c r="BU7">
        <v>0.16390540000000001</v>
      </c>
      <c r="BV7">
        <v>3.0394999999999999</v>
      </c>
      <c r="BW7">
        <v>3.211795</v>
      </c>
      <c r="BX7">
        <v>1.742929</v>
      </c>
      <c r="BY7">
        <v>1.0572619999999999</v>
      </c>
      <c r="BZ7">
        <v>1.01488</v>
      </c>
      <c r="CA7">
        <v>0.99063429999999997</v>
      </c>
      <c r="CB7">
        <v>1.207462</v>
      </c>
      <c r="CC7">
        <v>0.17638590000000001</v>
      </c>
      <c r="CD7">
        <v>0.14511209999999999</v>
      </c>
      <c r="CE7">
        <v>8.2829200000000006E-2</v>
      </c>
      <c r="CF7">
        <v>0.12907350000000001</v>
      </c>
      <c r="CG7">
        <v>0.11974509999999999</v>
      </c>
      <c r="CH7">
        <v>2.99735E-2</v>
      </c>
      <c r="CI7">
        <v>-0.1554236</v>
      </c>
      <c r="CJ7">
        <v>-0.1675836</v>
      </c>
      <c r="CK7">
        <v>-0.19721350000000001</v>
      </c>
      <c r="CL7">
        <v>5.3150200000000002E-2</v>
      </c>
      <c r="CM7">
        <v>-7.5326999999999998E-3</v>
      </c>
      <c r="CN7">
        <v>-5.4886400000000002E-2</v>
      </c>
      <c r="CO7">
        <v>6.7250000000000003E-4</v>
      </c>
      <c r="CP7">
        <v>-0.1113962</v>
      </c>
      <c r="CQ7">
        <v>-0.22337950000000001</v>
      </c>
      <c r="CR7">
        <v>-5.1742200000000002E-2</v>
      </c>
      <c r="CS7">
        <v>0.2443282</v>
      </c>
      <c r="CT7">
        <v>3.118706</v>
      </c>
      <c r="CU7">
        <v>3.2894760000000001</v>
      </c>
      <c r="CV7">
        <v>1.821248</v>
      </c>
      <c r="CW7">
        <v>1.1375230000000001</v>
      </c>
      <c r="CX7">
        <v>1.093027</v>
      </c>
      <c r="CY7">
        <v>1.068546</v>
      </c>
      <c r="CZ7">
        <v>1.28444</v>
      </c>
      <c r="DA7">
        <v>0.20958760000000001</v>
      </c>
      <c r="DB7">
        <v>0.17524919999999999</v>
      </c>
      <c r="DC7">
        <v>0.11229749999999999</v>
      </c>
      <c r="DD7">
        <v>0.15483710000000001</v>
      </c>
      <c r="DE7">
        <v>0.1451548</v>
      </c>
      <c r="DF7">
        <v>5.4741600000000001E-2</v>
      </c>
      <c r="DG7">
        <v>-0.12985279999999999</v>
      </c>
      <c r="DH7">
        <v>-0.13306000000000001</v>
      </c>
      <c r="DI7">
        <v>-0.14646439999999999</v>
      </c>
      <c r="DJ7">
        <v>0.125338</v>
      </c>
      <c r="DK7">
        <v>6.9575100000000001E-2</v>
      </c>
      <c r="DL7">
        <v>2.28948E-2</v>
      </c>
      <c r="DM7">
        <v>7.9888000000000001E-2</v>
      </c>
      <c r="DN7">
        <v>-3.0338400000000001E-2</v>
      </c>
      <c r="DO7">
        <v>-0.1446364</v>
      </c>
      <c r="DP7">
        <v>2.9013600000000001E-2</v>
      </c>
      <c r="DQ7">
        <v>0.32475110000000001</v>
      </c>
      <c r="DR7">
        <v>3.1979129999999998</v>
      </c>
      <c r="DS7">
        <v>3.367156</v>
      </c>
      <c r="DT7">
        <v>1.8995679999999999</v>
      </c>
      <c r="DU7">
        <v>1.217784</v>
      </c>
      <c r="DV7">
        <v>1.1711750000000001</v>
      </c>
      <c r="DW7">
        <v>1.1464589999999999</v>
      </c>
      <c r="DX7">
        <v>1.3614189999999999</v>
      </c>
      <c r="DY7">
        <v>0.25752550000000002</v>
      </c>
      <c r="DZ7">
        <v>0.2187624</v>
      </c>
      <c r="EA7">
        <v>0.15484510000000001</v>
      </c>
      <c r="EB7">
        <v>0.1920356</v>
      </c>
      <c r="EC7">
        <v>0.18184239999999999</v>
      </c>
      <c r="ED7">
        <v>9.0502799999999994E-2</v>
      </c>
      <c r="EE7">
        <v>-9.2932600000000004E-2</v>
      </c>
      <c r="EF7">
        <v>-8.3213300000000004E-2</v>
      </c>
      <c r="EG7">
        <v>-7.3190599999999995E-2</v>
      </c>
      <c r="EH7">
        <v>0.22956589999999999</v>
      </c>
      <c r="EI7">
        <v>0.1809065</v>
      </c>
      <c r="EJ7">
        <v>0.1351985</v>
      </c>
      <c r="EK7">
        <v>0.19426260000000001</v>
      </c>
      <c r="EL7">
        <v>8.6696200000000001E-2</v>
      </c>
      <c r="EM7">
        <v>-3.0943999999999999E-2</v>
      </c>
      <c r="EN7">
        <v>0.14561209999999999</v>
      </c>
      <c r="EO7">
        <v>0.44086890000000001</v>
      </c>
      <c r="EP7">
        <v>3.3122760000000002</v>
      </c>
      <c r="EQ7">
        <v>3.4793150000000002</v>
      </c>
      <c r="ER7">
        <v>2.0126490000000001</v>
      </c>
      <c r="ES7">
        <v>1.3336669999999999</v>
      </c>
      <c r="ET7">
        <v>1.284006</v>
      </c>
      <c r="EU7">
        <v>1.2589509999999999</v>
      </c>
      <c r="EV7">
        <v>1.472564</v>
      </c>
      <c r="EW7">
        <v>61.966059999999999</v>
      </c>
      <c r="EX7">
        <v>60.871769999999998</v>
      </c>
      <c r="EY7">
        <v>59.186340000000001</v>
      </c>
      <c r="EZ7">
        <v>57.906860000000002</v>
      </c>
      <c r="FA7">
        <v>56.842440000000003</v>
      </c>
      <c r="FB7">
        <v>55.91742</v>
      </c>
      <c r="FC7">
        <v>55.595410000000001</v>
      </c>
      <c r="FD7">
        <v>56.839750000000002</v>
      </c>
      <c r="FE7">
        <v>62.6357</v>
      </c>
      <c r="FF7">
        <v>68.317049999999995</v>
      </c>
      <c r="FG7">
        <v>73.444370000000006</v>
      </c>
      <c r="FH7">
        <v>77.465599999999995</v>
      </c>
      <c r="FI7">
        <v>80.708770000000001</v>
      </c>
      <c r="FJ7">
        <v>82.682239999999993</v>
      </c>
      <c r="FK7">
        <v>85.596959999999996</v>
      </c>
      <c r="FL7">
        <v>86.570340000000002</v>
      </c>
      <c r="FM7">
        <v>87.513620000000003</v>
      </c>
      <c r="FN7">
        <v>84.769829999999999</v>
      </c>
      <c r="FO7">
        <v>80.386030000000005</v>
      </c>
      <c r="FP7">
        <v>77.767110000000002</v>
      </c>
      <c r="FQ7">
        <v>75.256479999999996</v>
      </c>
      <c r="FR7">
        <v>73.786510000000007</v>
      </c>
      <c r="FS7">
        <v>70.691220000000001</v>
      </c>
      <c r="FT7">
        <v>69.294659999999993</v>
      </c>
      <c r="FU7">
        <v>0.11757239999999999</v>
      </c>
      <c r="FV7" s="24">
        <v>5.8028999999999997E-2</v>
      </c>
      <c r="FW7">
        <v>5.5514000000000001E-2</v>
      </c>
      <c r="FX7">
        <v>1</v>
      </c>
    </row>
    <row r="8" spans="1:180" x14ac:dyDescent="0.4">
      <c r="A8" t="s">
        <v>1</v>
      </c>
      <c r="B8" t="s">
        <v>1</v>
      </c>
      <c r="C8" t="s">
        <v>199</v>
      </c>
      <c r="D8" t="s">
        <v>1</v>
      </c>
      <c r="E8" s="36">
        <v>43807</v>
      </c>
      <c r="F8">
        <v>43</v>
      </c>
      <c r="G8" s="41">
        <v>43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0</v>
      </c>
      <c r="DG8">
        <v>0</v>
      </c>
      <c r="DH8">
        <v>0</v>
      </c>
      <c r="DI8">
        <v>0</v>
      </c>
      <c r="DJ8">
        <v>0</v>
      </c>
      <c r="DK8">
        <v>0</v>
      </c>
      <c r="DL8">
        <v>0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0</v>
      </c>
      <c r="EQ8">
        <v>0</v>
      </c>
      <c r="ER8">
        <v>0</v>
      </c>
      <c r="ES8">
        <v>0</v>
      </c>
      <c r="ET8">
        <v>0</v>
      </c>
      <c r="EU8">
        <v>0</v>
      </c>
      <c r="EV8">
        <v>0</v>
      </c>
      <c r="EW8">
        <v>55.207259999999998</v>
      </c>
      <c r="EX8">
        <v>55.020859999999999</v>
      </c>
      <c r="EY8">
        <v>54.906280000000002</v>
      </c>
      <c r="EZ8">
        <v>54.269629999999999</v>
      </c>
      <c r="FA8">
        <v>54.22927</v>
      </c>
      <c r="FB8">
        <v>53.98997</v>
      </c>
      <c r="FC8">
        <v>53.634250000000002</v>
      </c>
      <c r="FD8">
        <v>54.099719999999998</v>
      </c>
      <c r="FE8">
        <v>55.102789999999999</v>
      </c>
      <c r="FF8">
        <v>56.280729999999998</v>
      </c>
      <c r="FG8">
        <v>58.098559999999999</v>
      </c>
      <c r="FH8">
        <v>58.353259999999999</v>
      </c>
      <c r="FI8">
        <v>58.874200000000002</v>
      </c>
      <c r="FJ8">
        <v>59.158929999999998</v>
      </c>
      <c r="FK8">
        <v>59.99877</v>
      </c>
      <c r="FL8">
        <v>58.813130000000001</v>
      </c>
      <c r="FM8">
        <v>57.32347</v>
      </c>
      <c r="FN8">
        <v>55.495980000000003</v>
      </c>
      <c r="FO8">
        <v>54.532940000000004</v>
      </c>
      <c r="FP8">
        <v>53.499490000000002</v>
      </c>
      <c r="FQ8">
        <v>52.610489999999999</v>
      </c>
      <c r="FR8">
        <v>52.166249999999998</v>
      </c>
      <c r="FS8">
        <v>50.938980000000001</v>
      </c>
      <c r="FT8">
        <v>49.672849999999997</v>
      </c>
      <c r="FU8">
        <v>0</v>
      </c>
      <c r="FV8" s="24">
        <v>0</v>
      </c>
      <c r="FW8">
        <v>0.17620930000000001</v>
      </c>
      <c r="FX8">
        <v>0</v>
      </c>
    </row>
    <row r="9" spans="1:180" x14ac:dyDescent="0.4">
      <c r="A9" t="s">
        <v>1</v>
      </c>
      <c r="B9" t="s">
        <v>1</v>
      </c>
      <c r="C9" t="s">
        <v>199</v>
      </c>
      <c r="D9" t="s">
        <v>1</v>
      </c>
      <c r="E9" s="36">
        <v>43519</v>
      </c>
      <c r="F9">
        <v>55</v>
      </c>
      <c r="G9" s="41">
        <v>237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 s="31">
        <v>0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 s="31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0</v>
      </c>
      <c r="DG9">
        <v>0</v>
      </c>
      <c r="DH9">
        <v>0</v>
      </c>
      <c r="DI9">
        <v>0</v>
      </c>
      <c r="DJ9">
        <v>0</v>
      </c>
      <c r="DK9">
        <v>0</v>
      </c>
      <c r="DL9">
        <v>0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 s="31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 s="31">
        <v>0</v>
      </c>
      <c r="EE9" s="31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0</v>
      </c>
      <c r="EM9" s="31">
        <v>0</v>
      </c>
      <c r="EN9">
        <v>0</v>
      </c>
      <c r="EO9" s="31">
        <v>0</v>
      </c>
      <c r="EP9">
        <v>0</v>
      </c>
      <c r="EQ9">
        <v>0</v>
      </c>
      <c r="ER9">
        <v>0</v>
      </c>
      <c r="ES9" s="31">
        <v>0</v>
      </c>
      <c r="ET9">
        <v>0</v>
      </c>
      <c r="EU9">
        <v>0</v>
      </c>
      <c r="EV9">
        <v>0</v>
      </c>
      <c r="EW9">
        <v>38.00271</v>
      </c>
      <c r="EX9">
        <v>37.463760000000001</v>
      </c>
      <c r="EY9">
        <v>37.431579999999997</v>
      </c>
      <c r="EZ9">
        <v>36.487540000000003</v>
      </c>
      <c r="FA9">
        <v>35.509270000000001</v>
      </c>
      <c r="FB9">
        <v>33.990789999999997</v>
      </c>
      <c r="FC9">
        <v>33.504739999999998</v>
      </c>
      <c r="FD9">
        <v>39.971260000000001</v>
      </c>
      <c r="FE9">
        <v>44.485500000000002</v>
      </c>
      <c r="FF9">
        <v>49.560670000000002</v>
      </c>
      <c r="FG9">
        <v>54.533340000000003</v>
      </c>
      <c r="FH9">
        <v>57.058399999999999</v>
      </c>
      <c r="FI9">
        <v>57.587519999999998</v>
      </c>
      <c r="FJ9">
        <v>58.41254</v>
      </c>
      <c r="FK9">
        <v>58.955190000000002</v>
      </c>
      <c r="FL9">
        <v>57.9968</v>
      </c>
      <c r="FM9">
        <v>57.52937</v>
      </c>
      <c r="FN9">
        <v>54.021709999999999</v>
      </c>
      <c r="FO9">
        <v>51.557789999999997</v>
      </c>
      <c r="FP9">
        <v>50.54092</v>
      </c>
      <c r="FQ9">
        <v>49.683959999999999</v>
      </c>
      <c r="FR9">
        <v>46.663110000000003</v>
      </c>
      <c r="FS9">
        <v>45.165649999999999</v>
      </c>
      <c r="FT9">
        <v>44.075159999999997</v>
      </c>
      <c r="FU9">
        <v>0</v>
      </c>
      <c r="FV9" s="24">
        <v>0</v>
      </c>
      <c r="FW9">
        <v>0.1804036</v>
      </c>
      <c r="FX9">
        <v>0</v>
      </c>
    </row>
    <row r="10" spans="1:180" x14ac:dyDescent="0.4">
      <c r="A10" t="s">
        <v>1</v>
      </c>
      <c r="B10" t="s">
        <v>1</v>
      </c>
      <c r="C10" t="s">
        <v>199</v>
      </c>
      <c r="D10" t="s">
        <v>1</v>
      </c>
      <c r="E10" s="36">
        <v>43622</v>
      </c>
      <c r="F10">
        <v>23</v>
      </c>
      <c r="G10" s="41">
        <v>262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 s="31">
        <v>0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 s="31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0</v>
      </c>
      <c r="DH10">
        <v>0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 s="31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 s="31">
        <v>0</v>
      </c>
      <c r="EE10" s="31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 s="31">
        <v>0</v>
      </c>
      <c r="EN10">
        <v>0</v>
      </c>
      <c r="EO10" s="31">
        <v>0</v>
      </c>
      <c r="EP10">
        <v>0</v>
      </c>
      <c r="EQ10">
        <v>0</v>
      </c>
      <c r="ER10">
        <v>0</v>
      </c>
      <c r="ES10" s="31">
        <v>0</v>
      </c>
      <c r="ET10">
        <v>0</v>
      </c>
      <c r="EU10">
        <v>0</v>
      </c>
      <c r="EV10">
        <v>0</v>
      </c>
      <c r="EW10">
        <v>69.301900000000003</v>
      </c>
      <c r="EX10">
        <v>67.805300000000003</v>
      </c>
      <c r="EY10">
        <v>67.077060000000003</v>
      </c>
      <c r="EZ10">
        <v>65.120379999999997</v>
      </c>
      <c r="FA10">
        <v>62.956180000000003</v>
      </c>
      <c r="FB10">
        <v>60.49879</v>
      </c>
      <c r="FC10">
        <v>59.212649999999996</v>
      </c>
      <c r="FD10">
        <v>62.174370000000003</v>
      </c>
      <c r="FE10">
        <v>65.924080000000004</v>
      </c>
      <c r="FF10">
        <v>68.985299999999995</v>
      </c>
      <c r="FG10">
        <v>72.404489999999996</v>
      </c>
      <c r="FH10">
        <v>74.881619999999998</v>
      </c>
      <c r="FI10">
        <v>76.250150000000005</v>
      </c>
      <c r="FJ10">
        <v>76.199460000000002</v>
      </c>
      <c r="FK10">
        <v>77.536760000000001</v>
      </c>
      <c r="FL10">
        <v>78.128349999999998</v>
      </c>
      <c r="FM10">
        <v>77.447959999999995</v>
      </c>
      <c r="FN10">
        <v>76.264520000000005</v>
      </c>
      <c r="FO10">
        <v>74.151380000000003</v>
      </c>
      <c r="FP10">
        <v>70.443700000000007</v>
      </c>
      <c r="FQ10">
        <v>66.804810000000003</v>
      </c>
      <c r="FR10">
        <v>63.814900000000002</v>
      </c>
      <c r="FS10">
        <v>61.717770000000002</v>
      </c>
      <c r="FT10">
        <v>60.14387</v>
      </c>
      <c r="FU10">
        <v>0</v>
      </c>
      <c r="FV10" s="24">
        <v>0</v>
      </c>
      <c r="FW10">
        <v>0.21970509999999999</v>
      </c>
      <c r="FX10">
        <v>0</v>
      </c>
    </row>
    <row r="11" spans="1:180" x14ac:dyDescent="0.4">
      <c r="A11" t="s">
        <v>1</v>
      </c>
      <c r="B11" t="s">
        <v>1</v>
      </c>
      <c r="C11" t="s">
        <v>199</v>
      </c>
      <c r="D11" t="s">
        <v>1</v>
      </c>
      <c r="E11" s="36">
        <v>43536</v>
      </c>
      <c r="F11">
        <v>182</v>
      </c>
      <c r="G11" s="41">
        <v>238</v>
      </c>
      <c r="H11">
        <v>47.091000000000001</v>
      </c>
      <c r="I11">
        <v>219.49610000000001</v>
      </c>
      <c r="J11">
        <v>216.38249999999999</v>
      </c>
      <c r="K11">
        <v>212.72630000000001</v>
      </c>
      <c r="L11">
        <v>211.83959999999999</v>
      </c>
      <c r="M11">
        <v>214.93879999999999</v>
      </c>
      <c r="N11">
        <v>224.3116</v>
      </c>
      <c r="O11">
        <v>238.70689999999999</v>
      </c>
      <c r="P11">
        <v>244.107</v>
      </c>
      <c r="Q11">
        <v>246.03110000000001</v>
      </c>
      <c r="R11">
        <v>244.43340000000001</v>
      </c>
      <c r="S11">
        <v>242.47049999999999</v>
      </c>
      <c r="T11">
        <v>244.2963</v>
      </c>
      <c r="U11">
        <v>244.6369</v>
      </c>
      <c r="V11">
        <v>244.24440000000001</v>
      </c>
      <c r="W11">
        <v>237.87690000000001</v>
      </c>
      <c r="X11">
        <v>224.21969999999999</v>
      </c>
      <c r="Y11">
        <v>222.67189999999999</v>
      </c>
      <c r="Z11">
        <v>222.46109999999999</v>
      </c>
      <c r="AA11">
        <v>223.46449999999999</v>
      </c>
      <c r="AB11">
        <v>225.36420000000001</v>
      </c>
      <c r="AC11">
        <v>223.97559999999999</v>
      </c>
      <c r="AD11">
        <v>224.09690000000001</v>
      </c>
      <c r="AE11">
        <v>225.67779999999999</v>
      </c>
      <c r="AF11">
        <v>225.9212</v>
      </c>
      <c r="AG11">
        <v>2.0626289999999998</v>
      </c>
      <c r="AH11">
        <v>0.1119238</v>
      </c>
      <c r="AI11">
        <v>0.19590060000000001</v>
      </c>
      <c r="AJ11">
        <v>-2.192402</v>
      </c>
      <c r="AK11">
        <v>-1.96448</v>
      </c>
      <c r="AL11">
        <v>1.775944</v>
      </c>
      <c r="AM11">
        <v>130.2243</v>
      </c>
      <c r="AN11">
        <v>195.42060000000001</v>
      </c>
      <c r="AO11">
        <v>200.29079999999999</v>
      </c>
      <c r="AP11">
        <v>176.0016</v>
      </c>
      <c r="AQ11">
        <v>92.865279999999998</v>
      </c>
      <c r="AR11">
        <v>58.274169999999998</v>
      </c>
      <c r="AS11">
        <v>41.469230000000003</v>
      </c>
      <c r="AT11">
        <v>31.901140000000002</v>
      </c>
      <c r="AU11">
        <v>23.266749999999998</v>
      </c>
      <c r="AV11">
        <v>19.420960000000001</v>
      </c>
      <c r="AW11">
        <v>18.981660000000002</v>
      </c>
      <c r="AX11">
        <v>19.266300000000001</v>
      </c>
      <c r="AY11">
        <v>15.594580000000001</v>
      </c>
      <c r="AZ11">
        <v>14.748200000000001</v>
      </c>
      <c r="BA11">
        <v>14.41446</v>
      </c>
      <c r="BB11">
        <v>13.811529999999999</v>
      </c>
      <c r="BC11">
        <v>15.18676</v>
      </c>
      <c r="BD11">
        <v>14.97175</v>
      </c>
      <c r="BE11">
        <v>2.6942710000000001</v>
      </c>
      <c r="BF11">
        <v>0.67670269999999999</v>
      </c>
      <c r="BG11">
        <v>0.66819220000000001</v>
      </c>
      <c r="BH11">
        <v>-1.698197</v>
      </c>
      <c r="BI11">
        <v>-1.4324669999999999</v>
      </c>
      <c r="BJ11">
        <v>2.4757579999999999</v>
      </c>
      <c r="BK11">
        <v>131.05680000000001</v>
      </c>
      <c r="BL11">
        <v>196.41370000000001</v>
      </c>
      <c r="BM11">
        <v>201.4494</v>
      </c>
      <c r="BN11">
        <v>177.14680000000001</v>
      </c>
      <c r="BO11">
        <v>94.016270000000006</v>
      </c>
      <c r="BP11">
        <v>59.495249999999999</v>
      </c>
      <c r="BQ11">
        <v>42.661639999999998</v>
      </c>
      <c r="BR11">
        <v>33.099690000000002</v>
      </c>
      <c r="BS11">
        <v>24.512499999999999</v>
      </c>
      <c r="BT11">
        <v>20.836690000000001</v>
      </c>
      <c r="BU11">
        <v>20.34674</v>
      </c>
      <c r="BV11">
        <v>20.878599999999999</v>
      </c>
      <c r="BW11">
        <v>17.098479999999999</v>
      </c>
      <c r="BX11">
        <v>16.27262</v>
      </c>
      <c r="BY11">
        <v>16.07893</v>
      </c>
      <c r="BZ11">
        <v>15.425179999999999</v>
      </c>
      <c r="CA11">
        <v>16.741900000000001</v>
      </c>
      <c r="CB11">
        <v>16.501729999999998</v>
      </c>
      <c r="CC11">
        <v>3.1317439999999999</v>
      </c>
      <c r="CD11">
        <v>1.0678669999999999</v>
      </c>
      <c r="CE11">
        <v>0.99529990000000002</v>
      </c>
      <c r="CF11">
        <v>-1.355912</v>
      </c>
      <c r="CG11">
        <v>-1.0639970000000001</v>
      </c>
      <c r="CH11">
        <v>2.9604469999999998</v>
      </c>
      <c r="CI11">
        <v>131.63339999999999</v>
      </c>
      <c r="CJ11">
        <v>197.10149999999999</v>
      </c>
      <c r="CK11">
        <v>202.25190000000001</v>
      </c>
      <c r="CL11">
        <v>177.93989999999999</v>
      </c>
      <c r="CM11">
        <v>94.813429999999997</v>
      </c>
      <c r="CN11">
        <v>60.340960000000003</v>
      </c>
      <c r="CO11">
        <v>43.48751</v>
      </c>
      <c r="CP11">
        <v>33.929810000000003</v>
      </c>
      <c r="CQ11">
        <v>25.375299999999999</v>
      </c>
      <c r="CR11">
        <v>21.817219999999999</v>
      </c>
      <c r="CS11">
        <v>21.292190000000002</v>
      </c>
      <c r="CT11">
        <v>21.995280000000001</v>
      </c>
      <c r="CU11">
        <v>18.140070000000001</v>
      </c>
      <c r="CV11">
        <v>17.328420000000001</v>
      </c>
      <c r="CW11">
        <v>17.231729999999999</v>
      </c>
      <c r="CX11">
        <v>16.5428</v>
      </c>
      <c r="CY11">
        <v>17.81898</v>
      </c>
      <c r="CZ11">
        <v>17.561389999999999</v>
      </c>
      <c r="DA11">
        <v>3.5692170000000001</v>
      </c>
      <c r="DB11">
        <v>1.459031</v>
      </c>
      <c r="DC11">
        <v>1.322408</v>
      </c>
      <c r="DD11">
        <v>-1.013628</v>
      </c>
      <c r="DE11">
        <v>-0.69552619999999998</v>
      </c>
      <c r="DF11">
        <v>3.4451360000000002</v>
      </c>
      <c r="DG11">
        <v>132.21010000000001</v>
      </c>
      <c r="DH11">
        <v>197.7894</v>
      </c>
      <c r="DI11">
        <v>203.05439999999999</v>
      </c>
      <c r="DJ11">
        <v>178.73310000000001</v>
      </c>
      <c r="DK11">
        <v>95.610600000000005</v>
      </c>
      <c r="DL11">
        <v>61.186680000000003</v>
      </c>
      <c r="DM11">
        <v>44.313369999999999</v>
      </c>
      <c r="DN11">
        <v>34.759920000000001</v>
      </c>
      <c r="DO11">
        <v>26.238099999999999</v>
      </c>
      <c r="DP11">
        <v>22.79776</v>
      </c>
      <c r="DQ11">
        <v>22.237639999999999</v>
      </c>
      <c r="DR11">
        <v>23.11195</v>
      </c>
      <c r="DS11">
        <v>19.181660000000001</v>
      </c>
      <c r="DT11">
        <v>18.384229999999999</v>
      </c>
      <c r="DU11">
        <v>18.384530000000002</v>
      </c>
      <c r="DV11">
        <v>17.660409999999999</v>
      </c>
      <c r="DW11">
        <v>18.896059999999999</v>
      </c>
      <c r="DX11">
        <v>18.62105</v>
      </c>
      <c r="DY11">
        <v>4.2008590000000003</v>
      </c>
      <c r="DZ11">
        <v>2.0238100000000001</v>
      </c>
      <c r="EA11">
        <v>1.794699</v>
      </c>
      <c r="EB11">
        <v>-0.51942319999999997</v>
      </c>
      <c r="EC11">
        <v>-0.1635133</v>
      </c>
      <c r="ED11">
        <v>4.1449499999999997</v>
      </c>
      <c r="EE11">
        <v>133.04259999999999</v>
      </c>
      <c r="EF11">
        <v>198.7825</v>
      </c>
      <c r="EG11">
        <v>204.21299999999999</v>
      </c>
      <c r="EH11">
        <v>179.8783</v>
      </c>
      <c r="EI11">
        <v>96.761579999999995</v>
      </c>
      <c r="EJ11">
        <v>62.407760000000003</v>
      </c>
      <c r="EK11">
        <v>45.505780000000001</v>
      </c>
      <c r="EL11">
        <v>35.958469999999998</v>
      </c>
      <c r="EM11">
        <v>27.483840000000001</v>
      </c>
      <c r="EN11">
        <v>24.21349</v>
      </c>
      <c r="EO11">
        <v>23.602720000000001</v>
      </c>
      <c r="EP11">
        <v>24.724250000000001</v>
      </c>
      <c r="EQ11">
        <v>20.685559999999999</v>
      </c>
      <c r="ER11">
        <v>19.908650000000002</v>
      </c>
      <c r="ES11">
        <v>20.048999999999999</v>
      </c>
      <c r="ET11">
        <v>19.274059999999999</v>
      </c>
      <c r="EU11">
        <v>20.4512</v>
      </c>
      <c r="EV11">
        <v>20.151029999999999</v>
      </c>
      <c r="EW11">
        <v>50.208309999999997</v>
      </c>
      <c r="EX11">
        <v>48.802370000000003</v>
      </c>
      <c r="EY11">
        <v>47.979759999999999</v>
      </c>
      <c r="EZ11">
        <v>47.105739999999997</v>
      </c>
      <c r="FA11">
        <v>46.392650000000003</v>
      </c>
      <c r="FB11">
        <v>45.825150000000001</v>
      </c>
      <c r="FC11">
        <v>45.825749999999999</v>
      </c>
      <c r="FD11">
        <v>45.853099999999998</v>
      </c>
      <c r="FE11">
        <v>49.869320000000002</v>
      </c>
      <c r="FF11">
        <v>54.310519999999997</v>
      </c>
      <c r="FG11">
        <v>57.074860000000001</v>
      </c>
      <c r="FH11">
        <v>60.023110000000003</v>
      </c>
      <c r="FI11">
        <v>61.183639999999997</v>
      </c>
      <c r="FJ11">
        <v>62.672379999999997</v>
      </c>
      <c r="FK11">
        <v>63.337800000000001</v>
      </c>
      <c r="FL11">
        <v>63.768479999999997</v>
      </c>
      <c r="FM11">
        <v>63.404609999999998</v>
      </c>
      <c r="FN11">
        <v>62.21555</v>
      </c>
      <c r="FO11">
        <v>60.145899999999997</v>
      </c>
      <c r="FP11">
        <v>57.941249999999997</v>
      </c>
      <c r="FQ11">
        <v>56.731859999999998</v>
      </c>
      <c r="FR11">
        <v>54.181519999999999</v>
      </c>
      <c r="FS11">
        <v>52.296140000000001</v>
      </c>
      <c r="FT11">
        <v>50.609169999999999</v>
      </c>
      <c r="FU11">
        <v>2.9755479999999999</v>
      </c>
      <c r="FV11" s="24">
        <v>2.946707</v>
      </c>
      <c r="FW11">
        <v>9.1863E-2</v>
      </c>
      <c r="FX11">
        <v>1</v>
      </c>
    </row>
    <row r="12" spans="1:180" x14ac:dyDescent="0.4">
      <c r="A12" t="s">
        <v>1</v>
      </c>
      <c r="B12" t="s">
        <v>1</v>
      </c>
      <c r="C12" t="s">
        <v>199</v>
      </c>
      <c r="D12" t="s">
        <v>1</v>
      </c>
      <c r="E12" s="36">
        <v>43744</v>
      </c>
      <c r="F12">
        <v>289</v>
      </c>
      <c r="G12" s="41">
        <v>289</v>
      </c>
      <c r="H12">
        <v>77.194000000000003</v>
      </c>
      <c r="I12">
        <v>250.0489</v>
      </c>
      <c r="J12">
        <v>247.75700000000001</v>
      </c>
      <c r="K12">
        <v>243.65430000000001</v>
      </c>
      <c r="L12">
        <v>242.0411</v>
      </c>
      <c r="M12">
        <v>240.74170000000001</v>
      </c>
      <c r="N12">
        <v>240.89349999999999</v>
      </c>
      <c r="O12">
        <v>239.0076</v>
      </c>
      <c r="P12">
        <v>237.32820000000001</v>
      </c>
      <c r="Q12">
        <v>238.11670000000001</v>
      </c>
      <c r="R12">
        <v>237.18510000000001</v>
      </c>
      <c r="S12">
        <v>237.8852</v>
      </c>
      <c r="T12">
        <v>238.86680000000001</v>
      </c>
      <c r="U12">
        <v>239.8398</v>
      </c>
      <c r="V12">
        <v>242.12989999999999</v>
      </c>
      <c r="W12">
        <v>241.82599999999999</v>
      </c>
      <c r="X12">
        <v>242.3665</v>
      </c>
      <c r="Y12">
        <v>243.41900000000001</v>
      </c>
      <c r="Z12">
        <v>246.0592</v>
      </c>
      <c r="AA12">
        <v>249.3252</v>
      </c>
      <c r="AB12">
        <v>250.93790000000001</v>
      </c>
      <c r="AC12">
        <v>249.58369999999999</v>
      </c>
      <c r="AD12">
        <v>250.31440000000001</v>
      </c>
      <c r="AE12">
        <v>251.40539999999999</v>
      </c>
      <c r="AF12">
        <v>256.113</v>
      </c>
      <c r="AG12">
        <v>3.4241600000000001</v>
      </c>
      <c r="AH12">
        <v>2.0781800000000001</v>
      </c>
      <c r="AI12">
        <v>0.87064739999999996</v>
      </c>
      <c r="AJ12">
        <v>-4.9612099999999999E-2</v>
      </c>
      <c r="AK12">
        <v>0.75686129999999996</v>
      </c>
      <c r="AL12">
        <v>-0.22799220000000001</v>
      </c>
      <c r="AM12">
        <v>-2.3443459999999998</v>
      </c>
      <c r="AN12">
        <v>-1.916488</v>
      </c>
      <c r="AO12">
        <v>-3.1373920000000002</v>
      </c>
      <c r="AP12">
        <v>-1.745862</v>
      </c>
      <c r="AQ12">
        <v>-3.0162969999999998</v>
      </c>
      <c r="AR12">
        <v>-2.371982</v>
      </c>
      <c r="AS12">
        <v>-0.1189075</v>
      </c>
      <c r="AT12">
        <v>0.37418709999999999</v>
      </c>
      <c r="AU12">
        <v>-1.259639</v>
      </c>
      <c r="AV12">
        <v>-2.5480909999999999</v>
      </c>
      <c r="AW12">
        <v>35.357939999999999</v>
      </c>
      <c r="AX12">
        <v>162.9666</v>
      </c>
      <c r="AY12">
        <v>168.81120000000001</v>
      </c>
      <c r="AZ12">
        <v>115.3545</v>
      </c>
      <c r="BA12">
        <v>73.688130000000001</v>
      </c>
      <c r="BB12">
        <v>60.639510000000001</v>
      </c>
      <c r="BC12">
        <v>55.689549999999997</v>
      </c>
      <c r="BD12">
        <v>56.630420000000001</v>
      </c>
      <c r="BE12">
        <v>4.5761510000000003</v>
      </c>
      <c r="BF12">
        <v>3.0020030000000002</v>
      </c>
      <c r="BG12">
        <v>1.634638</v>
      </c>
      <c r="BH12">
        <v>0.76825359999999998</v>
      </c>
      <c r="BI12">
        <v>1.473482</v>
      </c>
      <c r="BJ12">
        <v>0.44499870000000002</v>
      </c>
      <c r="BK12">
        <v>-1.597288</v>
      </c>
      <c r="BL12">
        <v>-1.1998709999999999</v>
      </c>
      <c r="BM12">
        <v>-2.408623</v>
      </c>
      <c r="BN12">
        <v>-0.95672740000000001</v>
      </c>
      <c r="BO12">
        <v>-2.098325</v>
      </c>
      <c r="BP12">
        <v>-1.37599</v>
      </c>
      <c r="BQ12">
        <v>0.9865872</v>
      </c>
      <c r="BR12">
        <v>1.59009</v>
      </c>
      <c r="BS12">
        <v>-5.1027099999999999E-2</v>
      </c>
      <c r="BT12">
        <v>-1.2331570000000001</v>
      </c>
      <c r="BU12">
        <v>36.848030000000001</v>
      </c>
      <c r="BV12">
        <v>164.90600000000001</v>
      </c>
      <c r="BW12">
        <v>170.8492</v>
      </c>
      <c r="BX12">
        <v>117.3338</v>
      </c>
      <c r="BY12">
        <v>75.647319999999993</v>
      </c>
      <c r="BZ12">
        <v>62.581949999999999</v>
      </c>
      <c r="CA12">
        <v>57.705390000000001</v>
      </c>
      <c r="CB12">
        <v>58.786119999999997</v>
      </c>
      <c r="CC12">
        <v>5.3740160000000001</v>
      </c>
      <c r="CD12">
        <v>3.6418400000000002</v>
      </c>
      <c r="CE12">
        <v>2.1637749999999998</v>
      </c>
      <c r="CF12">
        <v>1.334705</v>
      </c>
      <c r="CG12">
        <v>1.969811</v>
      </c>
      <c r="CH12">
        <v>0.91111019999999998</v>
      </c>
      <c r="CI12">
        <v>-1.0798779999999999</v>
      </c>
      <c r="CJ12">
        <v>-0.70354329999999998</v>
      </c>
      <c r="CK12">
        <v>-1.90388</v>
      </c>
      <c r="CL12">
        <v>-0.41017550000000003</v>
      </c>
      <c r="CM12">
        <v>-1.46254</v>
      </c>
      <c r="CN12">
        <v>-0.68616860000000002</v>
      </c>
      <c r="CO12">
        <v>1.7522489999999999</v>
      </c>
      <c r="CP12">
        <v>2.4322210000000002</v>
      </c>
      <c r="CQ12">
        <v>0.78605349999999996</v>
      </c>
      <c r="CR12">
        <v>-0.322438</v>
      </c>
      <c r="CS12">
        <v>37.880049999999997</v>
      </c>
      <c r="CT12">
        <v>166.2492</v>
      </c>
      <c r="CU12">
        <v>172.26070000000001</v>
      </c>
      <c r="CV12">
        <v>118.7046</v>
      </c>
      <c r="CW12">
        <v>77.004239999999996</v>
      </c>
      <c r="CX12">
        <v>63.92727</v>
      </c>
      <c r="CY12">
        <v>59.101550000000003</v>
      </c>
      <c r="CZ12">
        <v>60.279150000000001</v>
      </c>
      <c r="DA12">
        <v>6.1718820000000001</v>
      </c>
      <c r="DB12">
        <v>4.2816780000000003</v>
      </c>
      <c r="DC12">
        <v>2.6929120000000002</v>
      </c>
      <c r="DD12">
        <v>1.9011560000000001</v>
      </c>
      <c r="DE12">
        <v>2.4661400000000002</v>
      </c>
      <c r="DF12">
        <v>1.3772219999999999</v>
      </c>
      <c r="DG12">
        <v>-0.56246839999999998</v>
      </c>
      <c r="DH12">
        <v>-0.20721609999999999</v>
      </c>
      <c r="DI12">
        <v>-1.3991370000000001</v>
      </c>
      <c r="DJ12">
        <v>0.13637650000000001</v>
      </c>
      <c r="DK12">
        <v>-0.82675500000000002</v>
      </c>
      <c r="DL12">
        <v>3.6526000000000002E-3</v>
      </c>
      <c r="DM12">
        <v>2.5179119999999999</v>
      </c>
      <c r="DN12">
        <v>3.2743509999999998</v>
      </c>
      <c r="DO12">
        <v>1.6231340000000001</v>
      </c>
      <c r="DP12">
        <v>0.5882811</v>
      </c>
      <c r="DQ12">
        <v>38.912080000000003</v>
      </c>
      <c r="DR12">
        <v>167.5925</v>
      </c>
      <c r="DS12">
        <v>173.6721</v>
      </c>
      <c r="DT12">
        <v>120.07550000000001</v>
      </c>
      <c r="DU12">
        <v>78.361170000000001</v>
      </c>
      <c r="DV12">
        <v>65.272599999999997</v>
      </c>
      <c r="DW12">
        <v>60.497709999999998</v>
      </c>
      <c r="DX12">
        <v>61.772170000000003</v>
      </c>
      <c r="DY12">
        <v>7.3238719999999997</v>
      </c>
      <c r="DZ12">
        <v>5.2055009999999999</v>
      </c>
      <c r="EA12">
        <v>3.4569030000000001</v>
      </c>
      <c r="EB12">
        <v>2.7190219999999998</v>
      </c>
      <c r="EC12">
        <v>3.18276</v>
      </c>
      <c r="ED12">
        <v>2.0502129999999998</v>
      </c>
      <c r="EE12">
        <v>0.18458939999999999</v>
      </c>
      <c r="EF12">
        <v>0.50940160000000001</v>
      </c>
      <c r="EG12">
        <v>-0.67036879999999999</v>
      </c>
      <c r="EH12">
        <v>0.92551070000000002</v>
      </c>
      <c r="EI12">
        <v>9.1217400000000004E-2</v>
      </c>
      <c r="EJ12">
        <v>0.9996448</v>
      </c>
      <c r="EK12">
        <v>3.6234060000000001</v>
      </c>
      <c r="EL12">
        <v>4.4902540000000002</v>
      </c>
      <c r="EM12">
        <v>2.8317459999999999</v>
      </c>
      <c r="EN12">
        <v>1.9032150000000001</v>
      </c>
      <c r="EO12">
        <v>40.402169999999998</v>
      </c>
      <c r="EP12">
        <v>169.53190000000001</v>
      </c>
      <c r="EQ12">
        <v>175.71010000000001</v>
      </c>
      <c r="ER12">
        <v>122.0548</v>
      </c>
      <c r="ES12">
        <v>80.320359999999994</v>
      </c>
      <c r="ET12">
        <v>67.215029999999999</v>
      </c>
      <c r="EU12">
        <v>62.513539999999999</v>
      </c>
      <c r="EV12">
        <v>63.927869999999999</v>
      </c>
      <c r="EW12">
        <v>60.775239999999997</v>
      </c>
      <c r="EX12">
        <v>59.648710000000001</v>
      </c>
      <c r="EY12">
        <v>58.716230000000003</v>
      </c>
      <c r="EZ12">
        <v>57.320439999999998</v>
      </c>
      <c r="FA12">
        <v>56.259790000000002</v>
      </c>
      <c r="FB12">
        <v>55.364089999999997</v>
      </c>
      <c r="FC12">
        <v>54.628149999999998</v>
      </c>
      <c r="FD12">
        <v>56.197220000000002</v>
      </c>
      <c r="FE12">
        <v>62.893380000000001</v>
      </c>
      <c r="FF12">
        <v>69.13476</v>
      </c>
      <c r="FG12">
        <v>73.484219999999993</v>
      </c>
      <c r="FH12">
        <v>76.918139999999994</v>
      </c>
      <c r="FI12">
        <v>79.416309999999996</v>
      </c>
      <c r="FJ12">
        <v>81.961129999999997</v>
      </c>
      <c r="FK12">
        <v>83.728359999999995</v>
      </c>
      <c r="FL12">
        <v>84.686440000000005</v>
      </c>
      <c r="FM12">
        <v>84.876980000000003</v>
      </c>
      <c r="FN12">
        <v>83.433419999999998</v>
      </c>
      <c r="FO12">
        <v>78.911789999999996</v>
      </c>
      <c r="FP12">
        <v>75.015180000000001</v>
      </c>
      <c r="FQ12">
        <v>70.981440000000006</v>
      </c>
      <c r="FR12">
        <v>68.660480000000007</v>
      </c>
      <c r="FS12">
        <v>66.458029999999994</v>
      </c>
      <c r="FT12">
        <v>64.642319999999998</v>
      </c>
      <c r="FU12">
        <v>2.0045139999999999</v>
      </c>
      <c r="FV12" s="24">
        <v>2.7051059999999998</v>
      </c>
      <c r="FW12">
        <v>8.1512299999999996E-2</v>
      </c>
      <c r="FX12">
        <v>1</v>
      </c>
    </row>
    <row r="13" spans="1:180" x14ac:dyDescent="0.4">
      <c r="A13" t="s">
        <v>1</v>
      </c>
      <c r="B13" t="s">
        <v>1</v>
      </c>
      <c r="C13" t="s">
        <v>199</v>
      </c>
      <c r="D13" t="s">
        <v>1</v>
      </c>
      <c r="E13" s="36" t="s">
        <v>2</v>
      </c>
      <c r="F13">
        <v>289</v>
      </c>
      <c r="G13" s="41">
        <v>289</v>
      </c>
      <c r="H13">
        <v>77.194000000000003</v>
      </c>
      <c r="I13">
        <v>250.0489</v>
      </c>
      <c r="J13">
        <v>247.75700000000001</v>
      </c>
      <c r="K13">
        <v>243.65430000000001</v>
      </c>
      <c r="L13">
        <v>242.0411</v>
      </c>
      <c r="M13">
        <v>240.74170000000001</v>
      </c>
      <c r="N13">
        <v>240.89349999999999</v>
      </c>
      <c r="O13">
        <v>239.0076</v>
      </c>
      <c r="P13">
        <v>237.32820000000001</v>
      </c>
      <c r="Q13">
        <v>238.11670000000001</v>
      </c>
      <c r="R13">
        <v>237.18510000000001</v>
      </c>
      <c r="S13">
        <v>237.8852</v>
      </c>
      <c r="T13">
        <v>238.86680000000001</v>
      </c>
      <c r="U13">
        <v>239.8398</v>
      </c>
      <c r="V13">
        <v>242.12989999999999</v>
      </c>
      <c r="W13">
        <v>241.82599999999999</v>
      </c>
      <c r="X13">
        <v>242.3665</v>
      </c>
      <c r="Y13">
        <v>243.41900000000001</v>
      </c>
      <c r="Z13">
        <v>246.0592</v>
      </c>
      <c r="AA13">
        <v>249.3252</v>
      </c>
      <c r="AB13">
        <v>250.93790000000001</v>
      </c>
      <c r="AC13">
        <v>249.58369999999999</v>
      </c>
      <c r="AD13">
        <v>250.31440000000001</v>
      </c>
      <c r="AE13">
        <v>251.40539999999999</v>
      </c>
      <c r="AF13">
        <v>256.113</v>
      </c>
      <c r="AG13">
        <v>3.4302049999999999</v>
      </c>
      <c r="AH13">
        <v>2.0819510000000001</v>
      </c>
      <c r="AI13">
        <v>0.87261060000000001</v>
      </c>
      <c r="AJ13">
        <v>-4.5216699999999999E-2</v>
      </c>
      <c r="AK13">
        <v>0.76006890000000005</v>
      </c>
      <c r="AL13">
        <v>-0.22564519999999999</v>
      </c>
      <c r="AM13">
        <v>-2.3427730000000002</v>
      </c>
      <c r="AN13">
        <v>-1.9150799999999999</v>
      </c>
      <c r="AO13">
        <v>-3.1377470000000001</v>
      </c>
      <c r="AP13">
        <v>-1.7435830000000001</v>
      </c>
      <c r="AQ13">
        <v>-3.012724</v>
      </c>
      <c r="AR13">
        <v>-2.3706119999999999</v>
      </c>
      <c r="AS13">
        <v>-0.1148454</v>
      </c>
      <c r="AT13">
        <v>0.3808317</v>
      </c>
      <c r="AU13">
        <v>-1.2532920000000001</v>
      </c>
      <c r="AV13">
        <v>-2.542799</v>
      </c>
      <c r="AW13">
        <v>35.362070000000003</v>
      </c>
      <c r="AX13">
        <v>162.9692</v>
      </c>
      <c r="AY13">
        <v>168.81379999999999</v>
      </c>
      <c r="AZ13">
        <v>115.3556</v>
      </c>
      <c r="BA13">
        <v>73.686850000000007</v>
      </c>
      <c r="BB13">
        <v>60.637459999999997</v>
      </c>
      <c r="BC13">
        <v>55.688980000000001</v>
      </c>
      <c r="BD13">
        <v>56.630409999999998</v>
      </c>
      <c r="BE13">
        <v>4.5786239999999996</v>
      </c>
      <c r="BF13">
        <v>3.003546</v>
      </c>
      <c r="BG13">
        <v>1.6354409999999999</v>
      </c>
      <c r="BH13">
        <v>0.77005219999999996</v>
      </c>
      <c r="BI13">
        <v>1.4747939999999999</v>
      </c>
      <c r="BJ13">
        <v>0.4459591</v>
      </c>
      <c r="BK13">
        <v>-1.5966450000000001</v>
      </c>
      <c r="BL13">
        <v>-1.1992940000000001</v>
      </c>
      <c r="BM13">
        <v>-2.4087679999999998</v>
      </c>
      <c r="BN13">
        <v>-0.95579499999999995</v>
      </c>
      <c r="BO13">
        <v>-2.0968629999999999</v>
      </c>
      <c r="BP13">
        <v>-1.375429</v>
      </c>
      <c r="BQ13">
        <v>0.9882493</v>
      </c>
      <c r="BR13">
        <v>1.5928089999999999</v>
      </c>
      <c r="BS13">
        <v>-4.8430300000000003E-2</v>
      </c>
      <c r="BT13">
        <v>-1.2309920000000001</v>
      </c>
      <c r="BU13">
        <v>36.849719999999998</v>
      </c>
      <c r="BV13">
        <v>164.90710000000001</v>
      </c>
      <c r="BW13">
        <v>170.8502</v>
      </c>
      <c r="BX13">
        <v>117.3343</v>
      </c>
      <c r="BY13">
        <v>75.646789999999996</v>
      </c>
      <c r="BZ13">
        <v>62.581110000000002</v>
      </c>
      <c r="CA13">
        <v>57.705150000000003</v>
      </c>
      <c r="CB13">
        <v>58.786110000000001</v>
      </c>
      <c r="CC13">
        <v>5.3740160000000001</v>
      </c>
      <c r="CD13">
        <v>3.6418400000000002</v>
      </c>
      <c r="CE13">
        <v>2.1637749999999998</v>
      </c>
      <c r="CF13">
        <v>1.334705</v>
      </c>
      <c r="CG13">
        <v>1.969811</v>
      </c>
      <c r="CH13">
        <v>0.91111019999999998</v>
      </c>
      <c r="CI13">
        <v>-1.0798779999999999</v>
      </c>
      <c r="CJ13">
        <v>-0.70354329999999998</v>
      </c>
      <c r="CK13">
        <v>-1.90388</v>
      </c>
      <c r="CL13">
        <v>-0.41017550000000003</v>
      </c>
      <c r="CM13">
        <v>-1.46254</v>
      </c>
      <c r="CN13">
        <v>-0.68616860000000002</v>
      </c>
      <c r="CO13">
        <v>1.7522489999999999</v>
      </c>
      <c r="CP13">
        <v>2.4322210000000002</v>
      </c>
      <c r="CQ13">
        <v>0.78605349999999996</v>
      </c>
      <c r="CR13">
        <v>-0.322438</v>
      </c>
      <c r="CS13">
        <v>37.880049999999997</v>
      </c>
      <c r="CT13">
        <v>166.2492</v>
      </c>
      <c r="CU13">
        <v>172.26070000000001</v>
      </c>
      <c r="CV13">
        <v>118.7046</v>
      </c>
      <c r="CW13">
        <v>77.004239999999996</v>
      </c>
      <c r="CX13">
        <v>63.92727</v>
      </c>
      <c r="CY13">
        <v>59.101550000000003</v>
      </c>
      <c r="CZ13">
        <v>60.279150000000001</v>
      </c>
      <c r="DA13">
        <v>6.1694079999999998</v>
      </c>
      <c r="DB13">
        <v>4.2801349999999996</v>
      </c>
      <c r="DC13">
        <v>2.6921089999999999</v>
      </c>
      <c r="DD13">
        <v>1.8993580000000001</v>
      </c>
      <c r="DE13">
        <v>2.4648279999999998</v>
      </c>
      <c r="DF13">
        <v>1.376261</v>
      </c>
      <c r="DG13">
        <v>-0.56311199999999995</v>
      </c>
      <c r="DH13">
        <v>-0.20779239999999999</v>
      </c>
      <c r="DI13">
        <v>-1.398992</v>
      </c>
      <c r="DJ13">
        <v>0.13544410000000001</v>
      </c>
      <c r="DK13">
        <v>-0.82821730000000005</v>
      </c>
      <c r="DL13">
        <v>3.0918E-3</v>
      </c>
      <c r="DM13">
        <v>2.5162490000000002</v>
      </c>
      <c r="DN13">
        <v>3.2716319999999999</v>
      </c>
      <c r="DO13">
        <v>1.6205369999999999</v>
      </c>
      <c r="DP13">
        <v>0.58611590000000002</v>
      </c>
      <c r="DQ13">
        <v>38.91039</v>
      </c>
      <c r="DR13">
        <v>167.59139999999999</v>
      </c>
      <c r="DS13">
        <v>173.6711</v>
      </c>
      <c r="DT13">
        <v>120.075</v>
      </c>
      <c r="DU13">
        <v>78.361689999999996</v>
      </c>
      <c r="DV13">
        <v>65.273439999999994</v>
      </c>
      <c r="DW13">
        <v>60.49794</v>
      </c>
      <c r="DX13">
        <v>61.772179999999999</v>
      </c>
      <c r="DY13">
        <v>7.3178280000000004</v>
      </c>
      <c r="DZ13">
        <v>5.2017300000000004</v>
      </c>
      <c r="EA13">
        <v>3.454939</v>
      </c>
      <c r="EB13">
        <v>2.7146270000000001</v>
      </c>
      <c r="EC13">
        <v>3.1795529999999999</v>
      </c>
      <c r="ED13">
        <v>2.047866</v>
      </c>
      <c r="EE13">
        <v>0.1830165</v>
      </c>
      <c r="EF13">
        <v>0.50799309999999998</v>
      </c>
      <c r="EG13">
        <v>-0.67001429999999995</v>
      </c>
      <c r="EH13">
        <v>0.9232321</v>
      </c>
      <c r="EI13">
        <v>8.7643799999999994E-2</v>
      </c>
      <c r="EJ13">
        <v>0.99827440000000001</v>
      </c>
      <c r="EK13">
        <v>3.6193439999999999</v>
      </c>
      <c r="EL13">
        <v>4.4836099999999997</v>
      </c>
      <c r="EM13">
        <v>2.825399</v>
      </c>
      <c r="EN13">
        <v>1.897923</v>
      </c>
      <c r="EO13">
        <v>40.398040000000002</v>
      </c>
      <c r="EP13">
        <v>169.5292</v>
      </c>
      <c r="EQ13">
        <v>175.70760000000001</v>
      </c>
      <c r="ER13">
        <v>122.0536</v>
      </c>
      <c r="ES13">
        <v>80.321629999999999</v>
      </c>
      <c r="ET13">
        <v>67.217089999999999</v>
      </c>
      <c r="EU13">
        <v>62.514110000000002</v>
      </c>
      <c r="EV13">
        <v>63.927889999999998</v>
      </c>
      <c r="EW13">
        <v>60.775239999999997</v>
      </c>
      <c r="EX13">
        <v>59.648710000000001</v>
      </c>
      <c r="EY13">
        <v>58.716230000000003</v>
      </c>
      <c r="EZ13">
        <v>57.320439999999998</v>
      </c>
      <c r="FA13">
        <v>56.259790000000002</v>
      </c>
      <c r="FB13">
        <v>55.364089999999997</v>
      </c>
      <c r="FC13">
        <v>54.628149999999998</v>
      </c>
      <c r="FD13">
        <v>56.197220000000002</v>
      </c>
      <c r="FE13">
        <v>62.893380000000001</v>
      </c>
      <c r="FF13">
        <v>69.13476</v>
      </c>
      <c r="FG13">
        <v>73.484219999999993</v>
      </c>
      <c r="FH13">
        <v>76.918139999999994</v>
      </c>
      <c r="FI13">
        <v>79.416309999999996</v>
      </c>
      <c r="FJ13">
        <v>81.961129999999997</v>
      </c>
      <c r="FK13">
        <v>83.728359999999995</v>
      </c>
      <c r="FL13">
        <v>84.686440000000005</v>
      </c>
      <c r="FM13">
        <v>84.876980000000003</v>
      </c>
      <c r="FN13">
        <v>83.433419999999998</v>
      </c>
      <c r="FO13">
        <v>78.911789999999996</v>
      </c>
      <c r="FP13">
        <v>75.015180000000001</v>
      </c>
      <c r="FQ13">
        <v>70.981440000000006</v>
      </c>
      <c r="FR13">
        <v>68.660480000000007</v>
      </c>
      <c r="FS13">
        <v>66.458029999999994</v>
      </c>
      <c r="FT13">
        <v>64.642319999999998</v>
      </c>
      <c r="FU13">
        <v>2.004928</v>
      </c>
      <c r="FV13" s="24">
        <v>2.70506</v>
      </c>
      <c r="FW13">
        <v>8.1512299999999996E-2</v>
      </c>
      <c r="FX13">
        <v>1</v>
      </c>
    </row>
    <row r="14" spans="1:180" x14ac:dyDescent="0.4">
      <c r="A14" t="s">
        <v>1</v>
      </c>
      <c r="B14" t="s">
        <v>1</v>
      </c>
      <c r="C14" t="s">
        <v>1</v>
      </c>
      <c r="D14" t="s">
        <v>1</v>
      </c>
      <c r="E14" s="36">
        <v>43807</v>
      </c>
      <c r="F14">
        <v>46</v>
      </c>
      <c r="G14" s="41">
        <v>46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0</v>
      </c>
      <c r="DG14">
        <v>0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55.207270000000001</v>
      </c>
      <c r="EX14">
        <v>55.020859999999999</v>
      </c>
      <c r="EY14">
        <v>54.906280000000002</v>
      </c>
      <c r="EZ14">
        <v>54.269629999999999</v>
      </c>
      <c r="FA14">
        <v>54.22927</v>
      </c>
      <c r="FB14">
        <v>53.989960000000004</v>
      </c>
      <c r="FC14">
        <v>53.634250000000002</v>
      </c>
      <c r="FD14">
        <v>54.099719999999998</v>
      </c>
      <c r="FE14">
        <v>55.102789999999999</v>
      </c>
      <c r="FF14">
        <v>56.280740000000002</v>
      </c>
      <c r="FG14">
        <v>58.098579999999998</v>
      </c>
      <c r="FH14">
        <v>58.353279999999998</v>
      </c>
      <c r="FI14">
        <v>58.874189999999999</v>
      </c>
      <c r="FJ14">
        <v>59.158920000000002</v>
      </c>
      <c r="FK14">
        <v>59.998739999999998</v>
      </c>
      <c r="FL14">
        <v>58.813130000000001</v>
      </c>
      <c r="FM14">
        <v>57.323459999999997</v>
      </c>
      <c r="FN14">
        <v>55.495980000000003</v>
      </c>
      <c r="FO14">
        <v>54.532919999999997</v>
      </c>
      <c r="FP14">
        <v>53.499479999999998</v>
      </c>
      <c r="FQ14">
        <v>52.610489999999999</v>
      </c>
      <c r="FR14">
        <v>52.166249999999998</v>
      </c>
      <c r="FS14">
        <v>50.938989999999997</v>
      </c>
      <c r="FT14">
        <v>49.67286</v>
      </c>
      <c r="FU14">
        <v>0</v>
      </c>
      <c r="FV14" s="24">
        <v>0</v>
      </c>
      <c r="FW14">
        <v>0.17620839999999999</v>
      </c>
      <c r="FX14">
        <v>0</v>
      </c>
    </row>
    <row r="15" spans="1:180" x14ac:dyDescent="0.4">
      <c r="A15" t="s">
        <v>1</v>
      </c>
      <c r="B15" t="s">
        <v>1</v>
      </c>
      <c r="C15" t="s">
        <v>1</v>
      </c>
      <c r="D15" t="s">
        <v>1</v>
      </c>
      <c r="E15" s="36">
        <v>43519</v>
      </c>
      <c r="F15">
        <v>116</v>
      </c>
      <c r="G15" s="41">
        <v>415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>
        <v>0</v>
      </c>
      <c r="ET15">
        <v>0</v>
      </c>
      <c r="EU15">
        <v>0</v>
      </c>
      <c r="EV15">
        <v>0</v>
      </c>
      <c r="EW15">
        <v>38.00638</v>
      </c>
      <c r="EX15">
        <v>37.46902</v>
      </c>
      <c r="EY15">
        <v>37.440800000000003</v>
      </c>
      <c r="EZ15">
        <v>36.49288</v>
      </c>
      <c r="FA15">
        <v>35.514569999999999</v>
      </c>
      <c r="FB15">
        <v>33.997819999999997</v>
      </c>
      <c r="FC15">
        <v>33.506709999999998</v>
      </c>
      <c r="FD15">
        <v>39.976799999999997</v>
      </c>
      <c r="FE15">
        <v>44.478619999999999</v>
      </c>
      <c r="FF15">
        <v>49.549529999999997</v>
      </c>
      <c r="FG15">
        <v>54.52328</v>
      </c>
      <c r="FH15">
        <v>57.047960000000003</v>
      </c>
      <c r="FI15">
        <v>57.577809999999999</v>
      </c>
      <c r="FJ15">
        <v>58.406379999999999</v>
      </c>
      <c r="FK15">
        <v>58.950409999999998</v>
      </c>
      <c r="FL15">
        <v>57.996749999999999</v>
      </c>
      <c r="FM15">
        <v>57.530149999999999</v>
      </c>
      <c r="FN15">
        <v>54.025199999999998</v>
      </c>
      <c r="FO15">
        <v>51.562530000000002</v>
      </c>
      <c r="FP15">
        <v>50.544600000000003</v>
      </c>
      <c r="FQ15">
        <v>49.685189999999999</v>
      </c>
      <c r="FR15">
        <v>46.66301</v>
      </c>
      <c r="FS15">
        <v>45.167920000000002</v>
      </c>
      <c r="FT15">
        <v>44.07987</v>
      </c>
      <c r="FU15">
        <v>0</v>
      </c>
      <c r="FV15" s="24">
        <v>0</v>
      </c>
      <c r="FW15">
        <v>0.17963280000000001</v>
      </c>
      <c r="FX15">
        <v>0</v>
      </c>
    </row>
    <row r="16" spans="1:180" x14ac:dyDescent="0.4">
      <c r="A16" t="s">
        <v>1</v>
      </c>
      <c r="B16" t="s">
        <v>1</v>
      </c>
      <c r="C16" t="s">
        <v>1</v>
      </c>
      <c r="D16" t="s">
        <v>1</v>
      </c>
      <c r="E16" s="36">
        <v>43622</v>
      </c>
      <c r="F16">
        <v>23</v>
      </c>
      <c r="G16" s="41">
        <v>450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>
        <v>0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0</v>
      </c>
      <c r="DG16">
        <v>0</v>
      </c>
      <c r="DH16">
        <v>0</v>
      </c>
      <c r="DI16">
        <v>0</v>
      </c>
      <c r="DJ16">
        <v>0</v>
      </c>
      <c r="DK16">
        <v>0</v>
      </c>
      <c r="DL16">
        <v>0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0</v>
      </c>
      <c r="EQ16">
        <v>0</v>
      </c>
      <c r="ER16">
        <v>0</v>
      </c>
      <c r="ES16">
        <v>0</v>
      </c>
      <c r="ET16">
        <v>0</v>
      </c>
      <c r="EU16">
        <v>0</v>
      </c>
      <c r="EV16">
        <v>0</v>
      </c>
      <c r="EW16">
        <v>69.301900000000003</v>
      </c>
      <c r="EX16">
        <v>67.805300000000003</v>
      </c>
      <c r="EY16">
        <v>67.077060000000003</v>
      </c>
      <c r="EZ16">
        <v>65.120379999999997</v>
      </c>
      <c r="FA16">
        <v>62.956180000000003</v>
      </c>
      <c r="FB16">
        <v>60.49879</v>
      </c>
      <c r="FC16">
        <v>59.212649999999996</v>
      </c>
      <c r="FD16">
        <v>62.174370000000003</v>
      </c>
      <c r="FE16">
        <v>65.924080000000004</v>
      </c>
      <c r="FF16">
        <v>68.985299999999995</v>
      </c>
      <c r="FG16">
        <v>72.404489999999996</v>
      </c>
      <c r="FH16">
        <v>74.881619999999998</v>
      </c>
      <c r="FI16">
        <v>76.250150000000005</v>
      </c>
      <c r="FJ16">
        <v>76.199460000000002</v>
      </c>
      <c r="FK16">
        <v>77.536760000000001</v>
      </c>
      <c r="FL16">
        <v>78.128349999999998</v>
      </c>
      <c r="FM16">
        <v>77.447959999999995</v>
      </c>
      <c r="FN16">
        <v>76.264520000000005</v>
      </c>
      <c r="FO16">
        <v>74.151380000000003</v>
      </c>
      <c r="FP16">
        <v>70.443700000000007</v>
      </c>
      <c r="FQ16">
        <v>66.804810000000003</v>
      </c>
      <c r="FR16">
        <v>63.814900000000002</v>
      </c>
      <c r="FS16">
        <v>61.717770000000002</v>
      </c>
      <c r="FT16">
        <v>60.14387</v>
      </c>
      <c r="FU16">
        <v>0</v>
      </c>
      <c r="FV16" s="24">
        <v>0</v>
      </c>
      <c r="FW16">
        <v>0.21970509999999999</v>
      </c>
      <c r="FX16">
        <v>0</v>
      </c>
    </row>
    <row r="17" spans="1:180" x14ac:dyDescent="0.4">
      <c r="A17" t="s">
        <v>1</v>
      </c>
      <c r="B17" t="s">
        <v>1</v>
      </c>
      <c r="C17" t="s">
        <v>1</v>
      </c>
      <c r="D17" t="s">
        <v>1</v>
      </c>
      <c r="E17" s="36">
        <v>43536</v>
      </c>
      <c r="F17">
        <v>299</v>
      </c>
      <c r="G17" s="41">
        <v>417</v>
      </c>
      <c r="H17">
        <v>47.640999999999998</v>
      </c>
      <c r="I17">
        <v>220.0522</v>
      </c>
      <c r="J17">
        <v>216.9057</v>
      </c>
      <c r="K17">
        <v>213.27699999999999</v>
      </c>
      <c r="L17">
        <v>212.3896</v>
      </c>
      <c r="M17">
        <v>215.50399999999999</v>
      </c>
      <c r="N17">
        <v>224.8964</v>
      </c>
      <c r="O17">
        <v>239.40819999999999</v>
      </c>
      <c r="P17">
        <v>244.99090000000001</v>
      </c>
      <c r="Q17">
        <v>246.8563</v>
      </c>
      <c r="R17">
        <v>245.107</v>
      </c>
      <c r="S17">
        <v>243.08459999999999</v>
      </c>
      <c r="T17">
        <v>244.9264</v>
      </c>
      <c r="U17">
        <v>245.26650000000001</v>
      </c>
      <c r="V17">
        <v>244.9093</v>
      </c>
      <c r="W17">
        <v>238.59710000000001</v>
      </c>
      <c r="X17">
        <v>224.99260000000001</v>
      </c>
      <c r="Y17">
        <v>223.50479999999999</v>
      </c>
      <c r="Z17">
        <v>223.476</v>
      </c>
      <c r="AA17">
        <v>224.63470000000001</v>
      </c>
      <c r="AB17">
        <v>226.499</v>
      </c>
      <c r="AC17">
        <v>225.0352</v>
      </c>
      <c r="AD17">
        <v>225.1001</v>
      </c>
      <c r="AE17">
        <v>226.64959999999999</v>
      </c>
      <c r="AF17">
        <v>226.8253</v>
      </c>
      <c r="AG17">
        <v>2.1695820000000001</v>
      </c>
      <c r="AH17">
        <v>0.18282480000000001</v>
      </c>
      <c r="AI17">
        <v>0.23569519999999999</v>
      </c>
      <c r="AJ17">
        <v>-2.1299299999999999</v>
      </c>
      <c r="AK17">
        <v>-1.900015</v>
      </c>
      <c r="AL17">
        <v>1.8651009999999999</v>
      </c>
      <c r="AM17">
        <v>130.59229999999999</v>
      </c>
      <c r="AN17">
        <v>196.11789999999999</v>
      </c>
      <c r="AO17">
        <v>201.27549999999999</v>
      </c>
      <c r="AP17">
        <v>176.8853</v>
      </c>
      <c r="AQ17">
        <v>92.968990000000005</v>
      </c>
      <c r="AR17">
        <v>58.545819999999999</v>
      </c>
      <c r="AS17">
        <v>41.773310000000002</v>
      </c>
      <c r="AT17">
        <v>32.116309999999999</v>
      </c>
      <c r="AU17">
        <v>23.32207</v>
      </c>
      <c r="AV17">
        <v>19.368390000000002</v>
      </c>
      <c r="AW17">
        <v>19.185400000000001</v>
      </c>
      <c r="AX17">
        <v>19.54053</v>
      </c>
      <c r="AY17">
        <v>16.073720000000002</v>
      </c>
      <c r="AZ17">
        <v>15.30424</v>
      </c>
      <c r="BA17">
        <v>14.93263</v>
      </c>
      <c r="BB17">
        <v>14.298579999999999</v>
      </c>
      <c r="BC17">
        <v>15.74732</v>
      </c>
      <c r="BD17">
        <v>15.4564</v>
      </c>
      <c r="BE17">
        <v>2.80145</v>
      </c>
      <c r="BF17">
        <v>0.74783920000000004</v>
      </c>
      <c r="BG17">
        <v>0.70825640000000001</v>
      </c>
      <c r="BH17">
        <v>-1.6354649999999999</v>
      </c>
      <c r="BI17">
        <v>-1.3677429999999999</v>
      </c>
      <c r="BJ17">
        <v>2.5651229999999998</v>
      </c>
      <c r="BK17">
        <v>131.42509999999999</v>
      </c>
      <c r="BL17">
        <v>197.1114</v>
      </c>
      <c r="BM17">
        <v>202.43469999999999</v>
      </c>
      <c r="BN17">
        <v>178.03129999999999</v>
      </c>
      <c r="BO17">
        <v>94.120829999999998</v>
      </c>
      <c r="BP17">
        <v>59.767850000000003</v>
      </c>
      <c r="BQ17">
        <v>42.966679999999997</v>
      </c>
      <c r="BR17">
        <v>33.315899999999999</v>
      </c>
      <c r="BS17">
        <v>24.568819999999999</v>
      </c>
      <c r="BT17">
        <v>20.784970000000001</v>
      </c>
      <c r="BU17">
        <v>20.551220000000001</v>
      </c>
      <c r="BV17">
        <v>21.153390000000002</v>
      </c>
      <c r="BW17">
        <v>17.578099999999999</v>
      </c>
      <c r="BX17">
        <v>16.82911</v>
      </c>
      <c r="BY17">
        <v>16.5975</v>
      </c>
      <c r="BZ17">
        <v>15.912649999999999</v>
      </c>
      <c r="CA17">
        <v>17.302879999999998</v>
      </c>
      <c r="CB17">
        <v>16.986789999999999</v>
      </c>
      <c r="CC17">
        <v>3.2390789999999998</v>
      </c>
      <c r="CD17">
        <v>1.1391659999999999</v>
      </c>
      <c r="CE17">
        <v>1.0355510000000001</v>
      </c>
      <c r="CF17">
        <v>-1.2929999999999999</v>
      </c>
      <c r="CG17">
        <v>-0.99909309999999996</v>
      </c>
      <c r="CH17">
        <v>3.0499559999999999</v>
      </c>
      <c r="CI17">
        <v>132.0018</v>
      </c>
      <c r="CJ17">
        <v>197.79949999999999</v>
      </c>
      <c r="CK17">
        <v>203.23759999999999</v>
      </c>
      <c r="CL17">
        <v>178.82490000000001</v>
      </c>
      <c r="CM17">
        <v>94.918580000000006</v>
      </c>
      <c r="CN17">
        <v>60.614229999999999</v>
      </c>
      <c r="CO17">
        <v>43.793199999999999</v>
      </c>
      <c r="CP17">
        <v>34.146729999999998</v>
      </c>
      <c r="CQ17">
        <v>25.43233</v>
      </c>
      <c r="CR17">
        <v>21.766079999999999</v>
      </c>
      <c r="CS17">
        <v>21.497170000000001</v>
      </c>
      <c r="CT17">
        <v>22.270440000000001</v>
      </c>
      <c r="CU17">
        <v>18.620039999999999</v>
      </c>
      <c r="CV17">
        <v>17.88523</v>
      </c>
      <c r="CW17">
        <v>17.750579999999999</v>
      </c>
      <c r="CX17">
        <v>17.030539999999998</v>
      </c>
      <c r="CY17">
        <v>18.38025</v>
      </c>
      <c r="CZ17">
        <v>18.04674</v>
      </c>
      <c r="DA17">
        <v>3.6767080000000001</v>
      </c>
      <c r="DB17">
        <v>1.530494</v>
      </c>
      <c r="DC17">
        <v>1.3628450000000001</v>
      </c>
      <c r="DD17">
        <v>-0.95053480000000001</v>
      </c>
      <c r="DE17">
        <v>-0.63044319999999998</v>
      </c>
      <c r="DF17">
        <v>3.534789</v>
      </c>
      <c r="DG17">
        <v>132.57859999999999</v>
      </c>
      <c r="DH17">
        <v>198.48750000000001</v>
      </c>
      <c r="DI17">
        <v>204.04050000000001</v>
      </c>
      <c r="DJ17">
        <v>179.61859999999999</v>
      </c>
      <c r="DK17">
        <v>95.716329999999999</v>
      </c>
      <c r="DL17">
        <v>61.460610000000003</v>
      </c>
      <c r="DM17">
        <v>44.619720000000001</v>
      </c>
      <c r="DN17">
        <v>34.977559999999997</v>
      </c>
      <c r="DO17">
        <v>26.295829999999999</v>
      </c>
      <c r="DP17">
        <v>22.747199999999999</v>
      </c>
      <c r="DQ17">
        <v>22.44313</v>
      </c>
      <c r="DR17">
        <v>23.387499999999999</v>
      </c>
      <c r="DS17">
        <v>19.66197</v>
      </c>
      <c r="DT17">
        <v>18.94136</v>
      </c>
      <c r="DU17">
        <v>18.903670000000002</v>
      </c>
      <c r="DV17">
        <v>18.148440000000001</v>
      </c>
      <c r="DW17">
        <v>19.457630000000002</v>
      </c>
      <c r="DX17">
        <v>19.106680000000001</v>
      </c>
      <c r="DY17">
        <v>4.3085750000000003</v>
      </c>
      <c r="DZ17">
        <v>2.0955080000000001</v>
      </c>
      <c r="EA17">
        <v>1.8354060000000001</v>
      </c>
      <c r="EB17">
        <v>-0.45606940000000001</v>
      </c>
      <c r="EC17">
        <v>-9.8171300000000003E-2</v>
      </c>
      <c r="ED17">
        <v>4.2348119999999998</v>
      </c>
      <c r="EE17">
        <v>133.41139999999999</v>
      </c>
      <c r="EF17">
        <v>199.48099999999999</v>
      </c>
      <c r="EG17">
        <v>205.19970000000001</v>
      </c>
      <c r="EH17">
        <v>180.7645</v>
      </c>
      <c r="EI17">
        <v>96.868160000000003</v>
      </c>
      <c r="EJ17">
        <v>62.682639999999999</v>
      </c>
      <c r="EK17">
        <v>45.813090000000003</v>
      </c>
      <c r="EL17">
        <v>36.177140000000001</v>
      </c>
      <c r="EM17">
        <v>27.542590000000001</v>
      </c>
      <c r="EN17">
        <v>24.163779999999999</v>
      </c>
      <c r="EO17">
        <v>23.80894</v>
      </c>
      <c r="EP17">
        <v>25.000350000000001</v>
      </c>
      <c r="EQ17">
        <v>21.166350000000001</v>
      </c>
      <c r="ER17">
        <v>20.466229999999999</v>
      </c>
      <c r="ES17">
        <v>20.568539999999999</v>
      </c>
      <c r="ET17">
        <v>19.762499999999999</v>
      </c>
      <c r="EU17">
        <v>21.013179999999998</v>
      </c>
      <c r="EV17">
        <v>20.637070000000001</v>
      </c>
      <c r="EW17">
        <v>50.209589999999999</v>
      </c>
      <c r="EX17">
        <v>48.804870000000001</v>
      </c>
      <c r="EY17">
        <v>47.979900000000001</v>
      </c>
      <c r="EZ17">
        <v>47.104419999999998</v>
      </c>
      <c r="FA17">
        <v>46.391289999999998</v>
      </c>
      <c r="FB17">
        <v>45.822980000000001</v>
      </c>
      <c r="FC17">
        <v>45.819220000000001</v>
      </c>
      <c r="FD17">
        <v>45.8401</v>
      </c>
      <c r="FE17">
        <v>49.896320000000003</v>
      </c>
      <c r="FF17">
        <v>54.326999999999998</v>
      </c>
      <c r="FG17">
        <v>57.068240000000003</v>
      </c>
      <c r="FH17">
        <v>60.021030000000003</v>
      </c>
      <c r="FI17">
        <v>61.184510000000003</v>
      </c>
      <c r="FJ17">
        <v>62.673810000000003</v>
      </c>
      <c r="FK17">
        <v>63.342399999999998</v>
      </c>
      <c r="FL17">
        <v>63.778880000000001</v>
      </c>
      <c r="FM17">
        <v>63.410699999999999</v>
      </c>
      <c r="FN17">
        <v>62.221980000000002</v>
      </c>
      <c r="FO17">
        <v>60.150289999999998</v>
      </c>
      <c r="FP17">
        <v>57.9407</v>
      </c>
      <c r="FQ17">
        <v>56.732660000000003</v>
      </c>
      <c r="FR17">
        <v>54.182259999999999</v>
      </c>
      <c r="FS17">
        <v>52.296810000000001</v>
      </c>
      <c r="FT17">
        <v>50.61027</v>
      </c>
      <c r="FU17">
        <v>2.9761959999999998</v>
      </c>
      <c r="FV17" s="24">
        <v>2.9470670000000001</v>
      </c>
      <c r="FW17">
        <v>9.1638499999999998E-2</v>
      </c>
      <c r="FX17">
        <v>1</v>
      </c>
    </row>
    <row r="18" spans="1:180" x14ac:dyDescent="0.4">
      <c r="A18" t="s">
        <v>1</v>
      </c>
      <c r="B18" t="s">
        <v>1</v>
      </c>
      <c r="C18" t="s">
        <v>1</v>
      </c>
      <c r="D18" t="s">
        <v>1</v>
      </c>
      <c r="E18" s="36">
        <v>43744</v>
      </c>
      <c r="F18">
        <v>512</v>
      </c>
      <c r="G18" s="41">
        <v>512</v>
      </c>
      <c r="H18">
        <v>78.004000000000005</v>
      </c>
      <c r="I18">
        <v>254.625</v>
      </c>
      <c r="J18">
        <v>252.32769999999999</v>
      </c>
      <c r="K18">
        <v>248.1224</v>
      </c>
      <c r="L18">
        <v>246.45349999999999</v>
      </c>
      <c r="M18">
        <v>244.99189999999999</v>
      </c>
      <c r="N18">
        <v>245.06039999999999</v>
      </c>
      <c r="O18">
        <v>242.9787</v>
      </c>
      <c r="P18">
        <v>241.28739999999999</v>
      </c>
      <c r="Q18">
        <v>241.86160000000001</v>
      </c>
      <c r="R18">
        <v>240.7405</v>
      </c>
      <c r="S18">
        <v>241.07679999999999</v>
      </c>
      <c r="T18">
        <v>241.87090000000001</v>
      </c>
      <c r="U18">
        <v>242.86340000000001</v>
      </c>
      <c r="V18">
        <v>245.15969999999999</v>
      </c>
      <c r="W18">
        <v>244.79419999999999</v>
      </c>
      <c r="X18">
        <v>245.5626</v>
      </c>
      <c r="Y18">
        <v>246.95699999999999</v>
      </c>
      <c r="Z18">
        <v>249.9152</v>
      </c>
      <c r="AA18">
        <v>253.4855</v>
      </c>
      <c r="AB18">
        <v>255.14570000000001</v>
      </c>
      <c r="AC18">
        <v>253.74690000000001</v>
      </c>
      <c r="AD18">
        <v>254.44739999999999</v>
      </c>
      <c r="AE18">
        <v>255.4641</v>
      </c>
      <c r="AF18">
        <v>260.33519999999999</v>
      </c>
      <c r="AG18">
        <v>3.6032419999999998</v>
      </c>
      <c r="AH18">
        <v>2.2180399999999998</v>
      </c>
      <c r="AI18">
        <v>0.94778770000000001</v>
      </c>
      <c r="AJ18">
        <v>7.6302999999999996E-2</v>
      </c>
      <c r="AK18">
        <v>0.87458139999999995</v>
      </c>
      <c r="AL18">
        <v>-0.1982428</v>
      </c>
      <c r="AM18">
        <v>-2.497566</v>
      </c>
      <c r="AN18">
        <v>-2.0815600000000001</v>
      </c>
      <c r="AO18">
        <v>-3.3421820000000002</v>
      </c>
      <c r="AP18">
        <v>-1.7056819999999999</v>
      </c>
      <c r="AQ18">
        <v>-2.810886</v>
      </c>
      <c r="AR18">
        <v>-2.1652969999999998</v>
      </c>
      <c r="AS18">
        <v>0.1405962</v>
      </c>
      <c r="AT18">
        <v>0.50200639999999996</v>
      </c>
      <c r="AU18">
        <v>-1.3027850000000001</v>
      </c>
      <c r="AV18">
        <v>-2.4196599999999999</v>
      </c>
      <c r="AW18">
        <v>35.783250000000002</v>
      </c>
      <c r="AX18">
        <v>166.2715</v>
      </c>
      <c r="AY18">
        <v>172.28829999999999</v>
      </c>
      <c r="AZ18">
        <v>117.3642</v>
      </c>
      <c r="BA18">
        <v>75.014219999999995</v>
      </c>
      <c r="BB18">
        <v>61.919539999999998</v>
      </c>
      <c r="BC18">
        <v>56.944450000000003</v>
      </c>
      <c r="BD18">
        <v>58.101689999999998</v>
      </c>
      <c r="BE18">
        <v>4.7562350000000002</v>
      </c>
      <c r="BF18">
        <v>3.1428929999999999</v>
      </c>
      <c r="BG18">
        <v>1.7129669999999999</v>
      </c>
      <c r="BH18">
        <v>0.89501909999999996</v>
      </c>
      <c r="BI18">
        <v>1.5921449999999999</v>
      </c>
      <c r="BJ18">
        <v>0.47570240000000003</v>
      </c>
      <c r="BK18">
        <v>-1.749592</v>
      </c>
      <c r="BL18">
        <v>-1.3632029999999999</v>
      </c>
      <c r="BM18">
        <v>-2.6097250000000001</v>
      </c>
      <c r="BN18">
        <v>-0.90966329999999995</v>
      </c>
      <c r="BO18">
        <v>-1.8860760000000001</v>
      </c>
      <c r="BP18">
        <v>-1.162793</v>
      </c>
      <c r="BQ18">
        <v>1.2521739999999999</v>
      </c>
      <c r="BR18">
        <v>1.723749</v>
      </c>
      <c r="BS18">
        <v>-8.8316599999999995E-2</v>
      </c>
      <c r="BT18">
        <v>-1.099091</v>
      </c>
      <c r="BU18">
        <v>37.278280000000002</v>
      </c>
      <c r="BV18">
        <v>168.21459999999999</v>
      </c>
      <c r="BW18">
        <v>174.3297</v>
      </c>
      <c r="BX18">
        <v>119.3471</v>
      </c>
      <c r="BY18">
        <v>76.977170000000001</v>
      </c>
      <c r="BZ18">
        <v>63.865589999999997</v>
      </c>
      <c r="CA18">
        <v>58.963760000000001</v>
      </c>
      <c r="CB18">
        <v>60.260550000000002</v>
      </c>
      <c r="CC18">
        <v>5.5547940000000002</v>
      </c>
      <c r="CD18">
        <v>3.7834430000000001</v>
      </c>
      <c r="CE18">
        <v>2.242928</v>
      </c>
      <c r="CF18" s="42">
        <v>1.462059</v>
      </c>
      <c r="CG18">
        <v>2.0891280000000001</v>
      </c>
      <c r="CH18">
        <v>0.94247479999999995</v>
      </c>
      <c r="CI18">
        <v>-1.2315480000000001</v>
      </c>
      <c r="CJ18">
        <v>-0.86567099999999997</v>
      </c>
      <c r="CK18">
        <v>-2.102427</v>
      </c>
      <c r="CL18">
        <v>-0.35834280000000002</v>
      </c>
      <c r="CM18">
        <v>-1.245555</v>
      </c>
      <c r="CN18">
        <v>-0.46846110000000002</v>
      </c>
      <c r="CO18">
        <v>2.0220500000000001</v>
      </c>
      <c r="CP18">
        <v>2.5699230000000002</v>
      </c>
      <c r="CQ18">
        <v>0.75282039999999995</v>
      </c>
      <c r="CR18">
        <v>-0.18446879999999999</v>
      </c>
      <c r="CS18">
        <v>38.313740000000003</v>
      </c>
      <c r="CT18">
        <v>169.56039999999999</v>
      </c>
      <c r="CU18">
        <v>175.74350000000001</v>
      </c>
      <c r="CV18">
        <v>120.7205</v>
      </c>
      <c r="CW18">
        <v>78.336709999999997</v>
      </c>
      <c r="CX18">
        <v>65.213419999999999</v>
      </c>
      <c r="CY18">
        <v>60.362319999999997</v>
      </c>
      <c r="CZ18">
        <v>61.755769999999998</v>
      </c>
      <c r="DA18">
        <v>6.3533540000000004</v>
      </c>
      <c r="DB18">
        <v>4.4239940000000004</v>
      </c>
      <c r="DC18">
        <v>2.7728890000000002</v>
      </c>
      <c r="DD18">
        <v>2.029099</v>
      </c>
      <c r="DE18">
        <v>2.5861100000000001</v>
      </c>
      <c r="DF18">
        <v>1.4092469999999999</v>
      </c>
      <c r="DG18">
        <v>-0.71350369999999996</v>
      </c>
      <c r="DH18">
        <v>-0.36813889999999999</v>
      </c>
      <c r="DI18">
        <v>-1.595129</v>
      </c>
      <c r="DJ18">
        <v>0.1929776</v>
      </c>
      <c r="DK18">
        <v>-0.60503390000000001</v>
      </c>
      <c r="DL18">
        <v>0.2258704</v>
      </c>
      <c r="DM18">
        <v>2.791925</v>
      </c>
      <c r="DN18">
        <v>3.4160979999999999</v>
      </c>
      <c r="DO18">
        <v>1.5939570000000001</v>
      </c>
      <c r="DP18">
        <v>0.73015319999999995</v>
      </c>
      <c r="DQ18">
        <v>39.34919</v>
      </c>
      <c r="DR18">
        <v>170.90620000000001</v>
      </c>
      <c r="DS18">
        <v>177.1574</v>
      </c>
      <c r="DT18">
        <v>122.0938</v>
      </c>
      <c r="DU18">
        <v>79.696240000000003</v>
      </c>
      <c r="DV18">
        <v>66.561260000000004</v>
      </c>
      <c r="DW18">
        <v>61.76088</v>
      </c>
      <c r="DX18">
        <v>63.250990000000002</v>
      </c>
      <c r="DY18">
        <v>7.5063469999999999</v>
      </c>
      <c r="DZ18">
        <v>5.3488470000000001</v>
      </c>
      <c r="EA18">
        <v>3.538068</v>
      </c>
      <c r="EB18">
        <v>2.8478159999999999</v>
      </c>
      <c r="EC18">
        <v>3.303674</v>
      </c>
      <c r="ED18">
        <v>2.0831919999999999</v>
      </c>
      <c r="EE18">
        <v>3.4470000000000001E-2</v>
      </c>
      <c r="EF18">
        <v>0.35021839999999999</v>
      </c>
      <c r="EG18">
        <v>-0.86267110000000002</v>
      </c>
      <c r="EH18">
        <v>0.98899669999999995</v>
      </c>
      <c r="EI18">
        <v>0.31977660000000002</v>
      </c>
      <c r="EJ18">
        <v>1.228375</v>
      </c>
      <c r="EK18">
        <v>3.9035039999999999</v>
      </c>
      <c r="EL18">
        <v>4.6378399999999997</v>
      </c>
      <c r="EM18">
        <v>2.8084259999999999</v>
      </c>
      <c r="EN18">
        <v>2.0507219999999999</v>
      </c>
      <c r="EO18">
        <v>40.84422</v>
      </c>
      <c r="EP18">
        <v>172.8493</v>
      </c>
      <c r="EQ18">
        <v>179.1987</v>
      </c>
      <c r="ER18">
        <v>124.0767</v>
      </c>
      <c r="ES18">
        <v>81.659189999999995</v>
      </c>
      <c r="ET18">
        <v>68.507310000000004</v>
      </c>
      <c r="EU18">
        <v>63.780180000000001</v>
      </c>
      <c r="EV18">
        <v>65.409850000000006</v>
      </c>
      <c r="EW18">
        <v>60.797199999999997</v>
      </c>
      <c r="EX18">
        <v>59.671579999999999</v>
      </c>
      <c r="EY18">
        <v>58.726349999999996</v>
      </c>
      <c r="EZ18">
        <v>57.331740000000003</v>
      </c>
      <c r="FA18">
        <v>56.269849999999998</v>
      </c>
      <c r="FB18">
        <v>55.373539999999998</v>
      </c>
      <c r="FC18">
        <v>54.643920000000001</v>
      </c>
      <c r="FD18">
        <v>56.208300000000001</v>
      </c>
      <c r="FE18">
        <v>62.889560000000003</v>
      </c>
      <c r="FF18">
        <v>69.123530000000002</v>
      </c>
      <c r="FG18">
        <v>73.483590000000007</v>
      </c>
      <c r="FH18">
        <v>76.924440000000004</v>
      </c>
      <c r="FI18">
        <v>79.431079999999994</v>
      </c>
      <c r="FJ18">
        <v>81.969729999999998</v>
      </c>
      <c r="FK18">
        <v>83.751339999999999</v>
      </c>
      <c r="FL18">
        <v>84.709879999999998</v>
      </c>
      <c r="FM18">
        <v>84.916210000000007</v>
      </c>
      <c r="FN18">
        <v>83.442499999999995</v>
      </c>
      <c r="FO18">
        <v>78.924639999999997</v>
      </c>
      <c r="FP18">
        <v>75.060069999999996</v>
      </c>
      <c r="FQ18">
        <v>71.050430000000006</v>
      </c>
      <c r="FR18">
        <v>68.7376</v>
      </c>
      <c r="FS18">
        <v>66.518739999999994</v>
      </c>
      <c r="FT18">
        <v>64.706649999999996</v>
      </c>
      <c r="FU18">
        <v>2.0082360000000001</v>
      </c>
      <c r="FV18" s="24">
        <v>2.7057760000000002</v>
      </c>
      <c r="FW18">
        <v>8.0302299999999993E-2</v>
      </c>
      <c r="FX18">
        <v>1</v>
      </c>
    </row>
    <row r="19" spans="1:180" x14ac:dyDescent="0.4">
      <c r="A19" t="s">
        <v>1</v>
      </c>
      <c r="B19" t="s">
        <v>1</v>
      </c>
      <c r="C19" t="s">
        <v>1</v>
      </c>
      <c r="D19" t="s">
        <v>1</v>
      </c>
      <c r="E19" s="36" t="s">
        <v>2</v>
      </c>
      <c r="F19">
        <v>512</v>
      </c>
      <c r="G19" s="41">
        <v>512</v>
      </c>
      <c r="H19">
        <v>78.004000000000005</v>
      </c>
      <c r="I19">
        <v>254.625</v>
      </c>
      <c r="J19">
        <v>252.32769999999999</v>
      </c>
      <c r="K19">
        <v>248.1224</v>
      </c>
      <c r="L19">
        <v>246.45349999999999</v>
      </c>
      <c r="M19">
        <v>244.99189999999999</v>
      </c>
      <c r="N19">
        <v>245.06039999999999</v>
      </c>
      <c r="O19">
        <v>242.9787</v>
      </c>
      <c r="P19">
        <v>241.28739999999999</v>
      </c>
      <c r="Q19">
        <v>241.86160000000001</v>
      </c>
      <c r="R19">
        <v>240.7405</v>
      </c>
      <c r="S19">
        <v>241.07679999999999</v>
      </c>
      <c r="T19">
        <v>241.87090000000001</v>
      </c>
      <c r="U19">
        <v>242.86340000000001</v>
      </c>
      <c r="V19">
        <v>245.15969999999999</v>
      </c>
      <c r="W19">
        <v>244.79419999999999</v>
      </c>
      <c r="X19">
        <v>245.5626</v>
      </c>
      <c r="Y19">
        <v>246.95699999999999</v>
      </c>
      <c r="Z19">
        <v>249.9152</v>
      </c>
      <c r="AA19">
        <v>253.4855</v>
      </c>
      <c r="AB19">
        <v>255.14570000000001</v>
      </c>
      <c r="AC19">
        <v>253.74690000000001</v>
      </c>
      <c r="AD19">
        <v>254.44739999999999</v>
      </c>
      <c r="AE19">
        <v>255.4641</v>
      </c>
      <c r="AF19">
        <v>260.33519999999999</v>
      </c>
      <c r="AG19">
        <v>3.609289</v>
      </c>
      <c r="AH19">
        <v>2.221813</v>
      </c>
      <c r="AI19">
        <v>0.94975419999999999</v>
      </c>
      <c r="AJ19">
        <v>8.0698699999999998E-2</v>
      </c>
      <c r="AK19">
        <v>0.87779070000000003</v>
      </c>
      <c r="AL19">
        <v>-0.1958927</v>
      </c>
      <c r="AM19">
        <v>-2.4959899999999999</v>
      </c>
      <c r="AN19">
        <v>-2.0801460000000001</v>
      </c>
      <c r="AO19">
        <v>-3.3425180000000001</v>
      </c>
      <c r="AP19">
        <v>-1.703379</v>
      </c>
      <c r="AQ19">
        <v>-2.8072900000000001</v>
      </c>
      <c r="AR19">
        <v>-2.1638890000000002</v>
      </c>
      <c r="AS19">
        <v>0.1446809</v>
      </c>
      <c r="AT19">
        <v>0.50866440000000002</v>
      </c>
      <c r="AU19">
        <v>-1.2964249999999999</v>
      </c>
      <c r="AV19">
        <v>-2.4143539999999999</v>
      </c>
      <c r="AW19">
        <v>35.787399999999998</v>
      </c>
      <c r="AX19">
        <v>166.27420000000001</v>
      </c>
      <c r="AY19">
        <v>172.29089999999999</v>
      </c>
      <c r="AZ19">
        <v>117.36539999999999</v>
      </c>
      <c r="BA19">
        <v>75.012969999999996</v>
      </c>
      <c r="BB19">
        <v>61.91751</v>
      </c>
      <c r="BC19">
        <v>56.943910000000002</v>
      </c>
      <c r="BD19">
        <v>58.101700000000001</v>
      </c>
      <c r="BE19">
        <v>4.7587089999999996</v>
      </c>
      <c r="BF19">
        <v>3.1444369999999999</v>
      </c>
      <c r="BG19">
        <v>1.7137720000000001</v>
      </c>
      <c r="BH19">
        <v>0.89681770000000005</v>
      </c>
      <c r="BI19">
        <v>1.593458</v>
      </c>
      <c r="BJ19">
        <v>0.47666409999999998</v>
      </c>
      <c r="BK19">
        <v>-1.7489479999999999</v>
      </c>
      <c r="BL19">
        <v>-1.362625</v>
      </c>
      <c r="BM19">
        <v>-2.6098620000000001</v>
      </c>
      <c r="BN19">
        <v>-0.90872059999999999</v>
      </c>
      <c r="BO19">
        <v>-1.8846039999999999</v>
      </c>
      <c r="BP19">
        <v>-1.1622170000000001</v>
      </c>
      <c r="BQ19">
        <v>1.253846</v>
      </c>
      <c r="BR19">
        <v>1.7264729999999999</v>
      </c>
      <c r="BS19">
        <v>-8.5714399999999996E-2</v>
      </c>
      <c r="BT19">
        <v>-1.0969199999999999</v>
      </c>
      <c r="BU19">
        <v>37.279980000000002</v>
      </c>
      <c r="BV19">
        <v>168.2157</v>
      </c>
      <c r="BW19">
        <v>174.33070000000001</v>
      </c>
      <c r="BX19">
        <v>119.3476</v>
      </c>
      <c r="BY19">
        <v>76.976659999999995</v>
      </c>
      <c r="BZ19">
        <v>63.86477</v>
      </c>
      <c r="CA19">
        <v>58.963529999999999</v>
      </c>
      <c r="CB19">
        <v>60.260559999999998</v>
      </c>
      <c r="CC19">
        <v>5.5547940000000002</v>
      </c>
      <c r="CD19">
        <v>3.7834430000000001</v>
      </c>
      <c r="CE19">
        <v>2.242928</v>
      </c>
      <c r="CF19">
        <v>1.462059</v>
      </c>
      <c r="CG19">
        <v>2.0891280000000001</v>
      </c>
      <c r="CH19">
        <v>0.94247479999999995</v>
      </c>
      <c r="CI19">
        <v>-1.2315480000000001</v>
      </c>
      <c r="CJ19">
        <v>-0.86567099999999997</v>
      </c>
      <c r="CK19">
        <v>-2.102427</v>
      </c>
      <c r="CL19">
        <v>-0.35834280000000002</v>
      </c>
      <c r="CM19">
        <v>-1.245555</v>
      </c>
      <c r="CN19">
        <v>-0.46846110000000002</v>
      </c>
      <c r="CO19">
        <v>2.0220500000000001</v>
      </c>
      <c r="CP19">
        <v>2.5699230000000002</v>
      </c>
      <c r="CQ19">
        <v>0.75282039999999995</v>
      </c>
      <c r="CR19">
        <v>-0.18446879999999999</v>
      </c>
      <c r="CS19">
        <v>38.313740000000003</v>
      </c>
      <c r="CT19">
        <v>169.56039999999999</v>
      </c>
      <c r="CU19">
        <v>175.74350000000001</v>
      </c>
      <c r="CV19">
        <v>120.7205</v>
      </c>
      <c r="CW19">
        <v>78.336709999999997</v>
      </c>
      <c r="CX19">
        <v>65.213419999999999</v>
      </c>
      <c r="CY19">
        <v>60.362319999999997</v>
      </c>
      <c r="CZ19">
        <v>61.755769999999998</v>
      </c>
      <c r="DA19">
        <v>6.3508789999999999</v>
      </c>
      <c r="DB19">
        <v>4.4224500000000004</v>
      </c>
      <c r="DC19">
        <v>2.772084</v>
      </c>
      <c r="DD19">
        <v>2.027301</v>
      </c>
      <c r="DE19">
        <v>2.584797</v>
      </c>
      <c r="DF19">
        <v>1.4082859999999999</v>
      </c>
      <c r="DG19">
        <v>-0.71414860000000002</v>
      </c>
      <c r="DH19">
        <v>-0.36871749999999998</v>
      </c>
      <c r="DI19">
        <v>-1.594991</v>
      </c>
      <c r="DJ19">
        <v>0.19203490000000001</v>
      </c>
      <c r="DK19">
        <v>-0.60650530000000002</v>
      </c>
      <c r="DL19">
        <v>0.22529440000000001</v>
      </c>
      <c r="DM19">
        <v>2.790254</v>
      </c>
      <c r="DN19">
        <v>3.4133740000000001</v>
      </c>
      <c r="DO19">
        <v>1.5913550000000001</v>
      </c>
      <c r="DP19">
        <v>0.72798220000000002</v>
      </c>
      <c r="DQ19">
        <v>39.347490000000001</v>
      </c>
      <c r="DR19">
        <v>170.90520000000001</v>
      </c>
      <c r="DS19">
        <v>177.15629999999999</v>
      </c>
      <c r="DT19">
        <v>122.0933</v>
      </c>
      <c r="DU19">
        <v>79.696749999999994</v>
      </c>
      <c r="DV19">
        <v>66.562079999999995</v>
      </c>
      <c r="DW19">
        <v>61.761099999999999</v>
      </c>
      <c r="DX19">
        <v>63.250990000000002</v>
      </c>
      <c r="DY19">
        <v>7.5003000000000002</v>
      </c>
      <c r="DZ19">
        <v>5.3450730000000002</v>
      </c>
      <c r="EA19">
        <v>3.5361009999999999</v>
      </c>
      <c r="EB19">
        <v>2.8434200000000001</v>
      </c>
      <c r="EC19">
        <v>3.300465</v>
      </c>
      <c r="ED19">
        <v>2.0808420000000001</v>
      </c>
      <c r="EE19">
        <v>3.2894100000000003E-2</v>
      </c>
      <c r="EF19">
        <v>0.34880440000000001</v>
      </c>
      <c r="EG19">
        <v>-0.86233479999999996</v>
      </c>
      <c r="EH19">
        <v>0.98669300000000004</v>
      </c>
      <c r="EI19">
        <v>0.31618079999999998</v>
      </c>
      <c r="EJ19">
        <v>1.2269669999999999</v>
      </c>
      <c r="EK19">
        <v>3.899419</v>
      </c>
      <c r="EL19">
        <v>4.6311819999999999</v>
      </c>
      <c r="EM19">
        <v>2.8020659999999999</v>
      </c>
      <c r="EN19">
        <v>2.045417</v>
      </c>
      <c r="EO19">
        <v>40.840069999999997</v>
      </c>
      <c r="EP19">
        <v>172.8467</v>
      </c>
      <c r="EQ19">
        <v>179.1962</v>
      </c>
      <c r="ER19">
        <v>124.07550000000001</v>
      </c>
      <c r="ES19">
        <v>81.660449999999997</v>
      </c>
      <c r="ET19">
        <v>68.509330000000006</v>
      </c>
      <c r="EU19">
        <v>63.780720000000002</v>
      </c>
      <c r="EV19">
        <v>65.409840000000003</v>
      </c>
      <c r="EW19">
        <v>60.797199999999997</v>
      </c>
      <c r="EX19">
        <v>59.671579999999999</v>
      </c>
      <c r="EY19">
        <v>58.726349999999996</v>
      </c>
      <c r="EZ19">
        <v>57.331740000000003</v>
      </c>
      <c r="FA19">
        <v>56.269849999999998</v>
      </c>
      <c r="FB19">
        <v>55.373539999999998</v>
      </c>
      <c r="FC19">
        <v>54.643920000000001</v>
      </c>
      <c r="FD19">
        <v>56.208300000000001</v>
      </c>
      <c r="FE19">
        <v>62.889560000000003</v>
      </c>
      <c r="FF19">
        <v>69.123530000000002</v>
      </c>
      <c r="FG19">
        <v>73.483590000000007</v>
      </c>
      <c r="FH19">
        <v>76.924440000000004</v>
      </c>
      <c r="FI19">
        <v>79.431079999999994</v>
      </c>
      <c r="FJ19">
        <v>81.969729999999998</v>
      </c>
      <c r="FK19">
        <v>83.751339999999999</v>
      </c>
      <c r="FL19">
        <v>84.709879999999998</v>
      </c>
      <c r="FM19">
        <v>84.916210000000007</v>
      </c>
      <c r="FN19">
        <v>83.442499999999995</v>
      </c>
      <c r="FO19">
        <v>78.924639999999997</v>
      </c>
      <c r="FP19">
        <v>75.060069999999996</v>
      </c>
      <c r="FQ19">
        <v>71.050430000000006</v>
      </c>
      <c r="FR19">
        <v>68.7376</v>
      </c>
      <c r="FS19">
        <v>66.518739999999994</v>
      </c>
      <c r="FT19">
        <v>64.706649999999996</v>
      </c>
      <c r="FU19">
        <v>2.0086490000000001</v>
      </c>
      <c r="FV19" s="24">
        <v>2.7057310000000001</v>
      </c>
      <c r="FW19">
        <v>8.0302299999999993E-2</v>
      </c>
      <c r="FX19">
        <v>1</v>
      </c>
    </row>
    <row r="20" spans="1:180" x14ac:dyDescent="0.4">
      <c r="A20" t="s">
        <v>1</v>
      </c>
      <c r="B20" t="s">
        <v>1</v>
      </c>
      <c r="C20" t="s">
        <v>245</v>
      </c>
      <c r="D20" t="s">
        <v>1</v>
      </c>
      <c r="E20" s="36">
        <v>43807</v>
      </c>
      <c r="F20">
        <v>0</v>
      </c>
      <c r="G20" s="41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0</v>
      </c>
      <c r="DK20">
        <v>0</v>
      </c>
      <c r="DL20">
        <v>0</v>
      </c>
      <c r="DM20">
        <v>0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0</v>
      </c>
      <c r="EM20">
        <v>0</v>
      </c>
      <c r="EN20">
        <v>0</v>
      </c>
      <c r="EO20">
        <v>0</v>
      </c>
      <c r="EP20">
        <v>0</v>
      </c>
      <c r="EQ20">
        <v>0</v>
      </c>
      <c r="ER20">
        <v>0</v>
      </c>
      <c r="ES20">
        <v>0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0</v>
      </c>
      <c r="FC20">
        <v>0</v>
      </c>
      <c r="FD20">
        <v>0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0</v>
      </c>
      <c r="FK20">
        <v>0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 s="24">
        <v>0</v>
      </c>
      <c r="FW20">
        <v>0</v>
      </c>
      <c r="FX20">
        <v>0</v>
      </c>
    </row>
    <row r="21" spans="1:180" x14ac:dyDescent="0.4">
      <c r="A21" t="s">
        <v>1</v>
      </c>
      <c r="B21" t="s">
        <v>1</v>
      </c>
      <c r="C21" t="s">
        <v>245</v>
      </c>
      <c r="D21" t="s">
        <v>1</v>
      </c>
      <c r="E21" s="36">
        <v>43519</v>
      </c>
      <c r="F21">
        <v>7</v>
      </c>
      <c r="G21" s="41">
        <v>25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0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0</v>
      </c>
      <c r="DD21">
        <v>0</v>
      </c>
      <c r="DE21">
        <v>0</v>
      </c>
      <c r="DF21">
        <v>0</v>
      </c>
      <c r="DG21">
        <v>0</v>
      </c>
      <c r="DH21">
        <v>0</v>
      </c>
      <c r="DI21">
        <v>0</v>
      </c>
      <c r="DJ21">
        <v>0</v>
      </c>
      <c r="DK21">
        <v>0</v>
      </c>
      <c r="DL21">
        <v>0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0</v>
      </c>
      <c r="EM21">
        <v>0</v>
      </c>
      <c r="EN21">
        <v>0</v>
      </c>
      <c r="EO21">
        <v>0</v>
      </c>
      <c r="EP21">
        <v>0</v>
      </c>
      <c r="EQ21">
        <v>0</v>
      </c>
      <c r="ER21">
        <v>0</v>
      </c>
      <c r="ES21">
        <v>0</v>
      </c>
      <c r="ET21">
        <v>0</v>
      </c>
      <c r="EU21">
        <v>0</v>
      </c>
      <c r="EV21">
        <v>0</v>
      </c>
      <c r="EW21">
        <v>39</v>
      </c>
      <c r="EX21">
        <v>39</v>
      </c>
      <c r="EY21">
        <v>0</v>
      </c>
      <c r="EZ21">
        <v>38</v>
      </c>
      <c r="FA21">
        <v>37</v>
      </c>
      <c r="FB21">
        <v>36</v>
      </c>
      <c r="FC21">
        <v>34</v>
      </c>
      <c r="FD21">
        <v>41</v>
      </c>
      <c r="FE21">
        <v>0</v>
      </c>
      <c r="FF21">
        <v>0</v>
      </c>
      <c r="FG21">
        <v>52</v>
      </c>
      <c r="FH21">
        <v>0</v>
      </c>
      <c r="FI21">
        <v>0</v>
      </c>
      <c r="FJ21">
        <v>57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51</v>
      </c>
      <c r="FR21">
        <v>0</v>
      </c>
      <c r="FS21">
        <v>46</v>
      </c>
      <c r="FT21">
        <v>45</v>
      </c>
      <c r="FU21">
        <v>0</v>
      </c>
      <c r="FV21" s="24">
        <v>0</v>
      </c>
      <c r="FW21">
        <v>1</v>
      </c>
      <c r="FX21">
        <v>0</v>
      </c>
    </row>
    <row r="22" spans="1:180" x14ac:dyDescent="0.4">
      <c r="A22" t="s">
        <v>1</v>
      </c>
      <c r="B22" t="s">
        <v>1</v>
      </c>
      <c r="C22" t="s">
        <v>245</v>
      </c>
      <c r="D22" t="s">
        <v>1</v>
      </c>
      <c r="E22" s="36">
        <v>43622</v>
      </c>
      <c r="F22">
        <v>0</v>
      </c>
      <c r="G22" s="41">
        <v>25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0</v>
      </c>
      <c r="DD22">
        <v>0</v>
      </c>
      <c r="DE22">
        <v>0</v>
      </c>
      <c r="DF22">
        <v>0</v>
      </c>
      <c r="DG22">
        <v>0</v>
      </c>
      <c r="DH22">
        <v>0</v>
      </c>
      <c r="DI22">
        <v>0</v>
      </c>
      <c r="DJ22">
        <v>0</v>
      </c>
      <c r="DK22">
        <v>0</v>
      </c>
      <c r="DL22">
        <v>0</v>
      </c>
      <c r="DM22">
        <v>0</v>
      </c>
      <c r="DN22">
        <v>0</v>
      </c>
      <c r="DO22">
        <v>0</v>
      </c>
      <c r="DP22">
        <v>0</v>
      </c>
      <c r="DQ22">
        <v>0</v>
      </c>
      <c r="DR22">
        <v>0</v>
      </c>
      <c r="DS22">
        <v>0</v>
      </c>
      <c r="DT22">
        <v>0</v>
      </c>
      <c r="DU22">
        <v>0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0</v>
      </c>
      <c r="EM22">
        <v>0</v>
      </c>
      <c r="EN22">
        <v>0</v>
      </c>
      <c r="EO22">
        <v>0</v>
      </c>
      <c r="EP22">
        <v>0</v>
      </c>
      <c r="EQ22">
        <v>0</v>
      </c>
      <c r="ER22">
        <v>0</v>
      </c>
      <c r="ES22">
        <v>0</v>
      </c>
      <c r="ET22">
        <v>0</v>
      </c>
      <c r="EU22">
        <v>0</v>
      </c>
      <c r="EV22">
        <v>0</v>
      </c>
      <c r="EW22">
        <v>0</v>
      </c>
      <c r="EX22">
        <v>0</v>
      </c>
      <c r="EY22">
        <v>0</v>
      </c>
      <c r="EZ22">
        <v>0</v>
      </c>
      <c r="FA22">
        <v>0</v>
      </c>
      <c r="FB22">
        <v>0</v>
      </c>
      <c r="FC22">
        <v>0</v>
      </c>
      <c r="FD22">
        <v>0</v>
      </c>
      <c r="FE22">
        <v>0</v>
      </c>
      <c r="FF22">
        <v>0</v>
      </c>
      <c r="FG22">
        <v>0</v>
      </c>
      <c r="FH22">
        <v>0</v>
      </c>
      <c r="FI22">
        <v>0</v>
      </c>
      <c r="FJ22">
        <v>0</v>
      </c>
      <c r="FK22">
        <v>0</v>
      </c>
      <c r="FL22">
        <v>0</v>
      </c>
      <c r="FM22">
        <v>0</v>
      </c>
      <c r="FN22">
        <v>0</v>
      </c>
      <c r="FO22">
        <v>0</v>
      </c>
      <c r="FP22">
        <v>0</v>
      </c>
      <c r="FQ22">
        <v>0</v>
      </c>
      <c r="FR22">
        <v>0</v>
      </c>
      <c r="FS22">
        <v>0</v>
      </c>
      <c r="FT22">
        <v>0</v>
      </c>
      <c r="FU22">
        <v>0</v>
      </c>
      <c r="FV22" s="24">
        <v>0</v>
      </c>
      <c r="FW22">
        <v>0</v>
      </c>
      <c r="FX22">
        <v>0</v>
      </c>
    </row>
    <row r="23" spans="1:180" x14ac:dyDescent="0.4">
      <c r="A23" t="s">
        <v>1</v>
      </c>
      <c r="B23" t="s">
        <v>1</v>
      </c>
      <c r="C23" t="s">
        <v>245</v>
      </c>
      <c r="D23" t="s">
        <v>1</v>
      </c>
      <c r="E23" s="36">
        <v>43536</v>
      </c>
      <c r="F23">
        <v>18</v>
      </c>
      <c r="G23" s="41">
        <v>25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0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0</v>
      </c>
      <c r="EU23">
        <v>0</v>
      </c>
      <c r="EV23">
        <v>0</v>
      </c>
      <c r="EW23">
        <v>51.333329999999997</v>
      </c>
      <c r="EX23">
        <v>50.142859999999999</v>
      </c>
      <c r="EY23">
        <v>48.5</v>
      </c>
      <c r="EZ23">
        <v>46.571429999999999</v>
      </c>
      <c r="FA23">
        <v>45.8</v>
      </c>
      <c r="FB23">
        <v>44.66666</v>
      </c>
      <c r="FC23">
        <v>43.833329999999997</v>
      </c>
      <c r="FD23">
        <v>45</v>
      </c>
      <c r="FE23">
        <v>47</v>
      </c>
      <c r="FF23">
        <v>52</v>
      </c>
      <c r="FG23">
        <v>55.666670000000003</v>
      </c>
      <c r="FH23">
        <v>59</v>
      </c>
      <c r="FI23">
        <v>62.090910000000001</v>
      </c>
      <c r="FJ23">
        <v>63.909089999999999</v>
      </c>
      <c r="FK23">
        <v>65.166659999999993</v>
      </c>
      <c r="FL23">
        <v>67.166659999999993</v>
      </c>
      <c r="FM23">
        <v>66.545460000000006</v>
      </c>
      <c r="FN23">
        <v>64.428569999999993</v>
      </c>
      <c r="FO23">
        <v>62.333329999999997</v>
      </c>
      <c r="FP23">
        <v>57.142850000000003</v>
      </c>
      <c r="FQ23">
        <v>57.4</v>
      </c>
      <c r="FR23">
        <v>54.8</v>
      </c>
      <c r="FS23">
        <v>52.666670000000003</v>
      </c>
      <c r="FT23">
        <v>51.4</v>
      </c>
      <c r="FU23">
        <v>0</v>
      </c>
      <c r="FV23" s="24">
        <v>0</v>
      </c>
      <c r="FW23">
        <v>0.34074070000000001</v>
      </c>
      <c r="FX23">
        <v>0</v>
      </c>
    </row>
    <row r="24" spans="1:180" x14ac:dyDescent="0.4">
      <c r="A24" t="s">
        <v>1</v>
      </c>
      <c r="B24" t="s">
        <v>1</v>
      </c>
      <c r="C24" t="s">
        <v>245</v>
      </c>
      <c r="D24" t="s">
        <v>1</v>
      </c>
      <c r="E24" s="36">
        <v>43744</v>
      </c>
      <c r="F24">
        <v>27</v>
      </c>
      <c r="G24" s="41">
        <v>27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0</v>
      </c>
      <c r="EU24">
        <v>0</v>
      </c>
      <c r="EV24">
        <v>0</v>
      </c>
      <c r="EW24">
        <v>62.997529999999998</v>
      </c>
      <c r="EX24">
        <v>61.998309999999996</v>
      </c>
      <c r="EY24">
        <v>60.99456</v>
      </c>
      <c r="EZ24">
        <v>58.997610000000002</v>
      </c>
      <c r="FA24">
        <v>57</v>
      </c>
      <c r="FB24">
        <v>56</v>
      </c>
      <c r="FC24">
        <v>55.002090000000003</v>
      </c>
      <c r="FD24">
        <v>57</v>
      </c>
      <c r="FE24">
        <v>63</v>
      </c>
      <c r="FF24">
        <v>69</v>
      </c>
      <c r="FG24">
        <v>72.044300000000007</v>
      </c>
      <c r="FH24">
        <v>78</v>
      </c>
      <c r="FI24">
        <v>81</v>
      </c>
      <c r="FJ24">
        <v>83</v>
      </c>
      <c r="FK24">
        <v>86</v>
      </c>
      <c r="FL24">
        <v>87</v>
      </c>
      <c r="FM24">
        <v>88</v>
      </c>
      <c r="FN24">
        <v>87</v>
      </c>
      <c r="FO24">
        <v>82</v>
      </c>
      <c r="FP24">
        <v>79</v>
      </c>
      <c r="FQ24">
        <v>77</v>
      </c>
      <c r="FR24">
        <v>76</v>
      </c>
      <c r="FS24">
        <v>72</v>
      </c>
      <c r="FT24">
        <v>71</v>
      </c>
      <c r="FU24">
        <v>0</v>
      </c>
      <c r="FV24" s="24">
        <v>0</v>
      </c>
      <c r="FW24">
        <v>0.99365079999999995</v>
      </c>
      <c r="FX24">
        <v>0</v>
      </c>
    </row>
    <row r="25" spans="1:180" x14ac:dyDescent="0.4">
      <c r="A25" t="s">
        <v>1</v>
      </c>
      <c r="B25" t="s">
        <v>1</v>
      </c>
      <c r="C25" t="s">
        <v>245</v>
      </c>
      <c r="D25" t="s">
        <v>1</v>
      </c>
      <c r="E25" s="36" t="s">
        <v>2</v>
      </c>
      <c r="F25">
        <v>27</v>
      </c>
      <c r="G25" s="41">
        <v>27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  <c r="AU25">
        <v>0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0</v>
      </c>
      <c r="ES25">
        <v>0</v>
      </c>
      <c r="ET25">
        <v>0</v>
      </c>
      <c r="EU25">
        <v>0</v>
      </c>
      <c r="EV25">
        <v>0</v>
      </c>
      <c r="EW25">
        <v>62.997529999999998</v>
      </c>
      <c r="EX25">
        <v>61.998309999999996</v>
      </c>
      <c r="EY25">
        <v>60.99456</v>
      </c>
      <c r="EZ25">
        <v>58.997610000000002</v>
      </c>
      <c r="FA25">
        <v>57</v>
      </c>
      <c r="FB25">
        <v>56</v>
      </c>
      <c r="FC25">
        <v>55.002090000000003</v>
      </c>
      <c r="FD25">
        <v>57</v>
      </c>
      <c r="FE25">
        <v>63</v>
      </c>
      <c r="FF25">
        <v>69</v>
      </c>
      <c r="FG25">
        <v>72.044300000000007</v>
      </c>
      <c r="FH25">
        <v>78</v>
      </c>
      <c r="FI25">
        <v>81</v>
      </c>
      <c r="FJ25">
        <v>83</v>
      </c>
      <c r="FK25">
        <v>86</v>
      </c>
      <c r="FL25">
        <v>87</v>
      </c>
      <c r="FM25">
        <v>88</v>
      </c>
      <c r="FN25">
        <v>87</v>
      </c>
      <c r="FO25">
        <v>82</v>
      </c>
      <c r="FP25">
        <v>79</v>
      </c>
      <c r="FQ25">
        <v>77</v>
      </c>
      <c r="FR25">
        <v>76</v>
      </c>
      <c r="FS25">
        <v>72</v>
      </c>
      <c r="FT25">
        <v>71</v>
      </c>
      <c r="FU25">
        <v>0</v>
      </c>
      <c r="FV25" s="24">
        <v>0</v>
      </c>
      <c r="FW25">
        <v>0.99365079999999995</v>
      </c>
      <c r="FX25">
        <v>0</v>
      </c>
    </row>
    <row r="26" spans="1:180" x14ac:dyDescent="0.4">
      <c r="A26" t="s">
        <v>1</v>
      </c>
      <c r="B26" t="s">
        <v>188</v>
      </c>
      <c r="C26" t="s">
        <v>1</v>
      </c>
      <c r="D26" t="s">
        <v>1</v>
      </c>
      <c r="E26" s="36">
        <v>43807</v>
      </c>
      <c r="F26">
        <v>13</v>
      </c>
      <c r="G26" s="41">
        <v>13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0</v>
      </c>
      <c r="AU26">
        <v>0</v>
      </c>
      <c r="AV26">
        <v>0</v>
      </c>
      <c r="AW26">
        <v>0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0</v>
      </c>
      <c r="DG26">
        <v>0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0</v>
      </c>
      <c r="ES26">
        <v>0</v>
      </c>
      <c r="ET26">
        <v>0</v>
      </c>
      <c r="EU26">
        <v>0</v>
      </c>
      <c r="EV26">
        <v>0</v>
      </c>
      <c r="EW26">
        <v>55.692869999999999</v>
      </c>
      <c r="EX26">
        <v>55.456020000000002</v>
      </c>
      <c r="EY26">
        <v>54.61439</v>
      </c>
      <c r="EZ26">
        <v>54.517060000000001</v>
      </c>
      <c r="FA26">
        <v>54.361190000000001</v>
      </c>
      <c r="FB26">
        <v>54.431719999999999</v>
      </c>
      <c r="FC26">
        <v>54.333970000000001</v>
      </c>
      <c r="FD26">
        <v>54.309890000000003</v>
      </c>
      <c r="FE26">
        <v>54.540019999999998</v>
      </c>
      <c r="FF26">
        <v>55.680999999999997</v>
      </c>
      <c r="FG26">
        <v>58.10671</v>
      </c>
      <c r="FH26">
        <v>58.738050000000001</v>
      </c>
      <c r="FI26">
        <v>59.973419999999997</v>
      </c>
      <c r="FJ26">
        <v>60.188479999999998</v>
      </c>
      <c r="FK26">
        <v>60.25676</v>
      </c>
      <c r="FL26">
        <v>59.356729999999999</v>
      </c>
      <c r="FM26">
        <v>57.108280000000001</v>
      </c>
      <c r="FN26">
        <v>55.873339999999999</v>
      </c>
      <c r="FO26">
        <v>54.894170000000003</v>
      </c>
      <c r="FP26">
        <v>53.9664</v>
      </c>
      <c r="FQ26">
        <v>53.44858</v>
      </c>
      <c r="FR26">
        <v>53.392910000000001</v>
      </c>
      <c r="FS26">
        <v>53.112389999999998</v>
      </c>
      <c r="FT26">
        <v>52.688049999999997</v>
      </c>
      <c r="FU26">
        <v>0</v>
      </c>
      <c r="FV26" s="24">
        <v>0</v>
      </c>
      <c r="FW26">
        <v>0.4419129</v>
      </c>
      <c r="FX26">
        <v>0</v>
      </c>
    </row>
    <row r="27" spans="1:180" x14ac:dyDescent="0.4">
      <c r="A27" t="s">
        <v>1</v>
      </c>
      <c r="B27" t="s">
        <v>188</v>
      </c>
      <c r="C27" t="s">
        <v>1</v>
      </c>
      <c r="D27" t="s">
        <v>1</v>
      </c>
      <c r="E27" s="36">
        <v>43519</v>
      </c>
      <c r="F27">
        <v>0</v>
      </c>
      <c r="G27" s="41">
        <v>35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0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0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0</v>
      </c>
      <c r="ES27">
        <v>0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  <c r="FB27">
        <v>0</v>
      </c>
      <c r="FC27">
        <v>0</v>
      </c>
      <c r="FD27">
        <v>0</v>
      </c>
      <c r="FE27">
        <v>0</v>
      </c>
      <c r="FF27">
        <v>0</v>
      </c>
      <c r="FG27">
        <v>0</v>
      </c>
      <c r="FH27">
        <v>0</v>
      </c>
      <c r="FI27">
        <v>0</v>
      </c>
      <c r="FJ27">
        <v>0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 s="24">
        <v>0</v>
      </c>
      <c r="FW27">
        <v>0</v>
      </c>
      <c r="FX27">
        <v>0</v>
      </c>
    </row>
    <row r="28" spans="1:180" x14ac:dyDescent="0.4">
      <c r="A28" t="s">
        <v>1</v>
      </c>
      <c r="B28" t="s">
        <v>188</v>
      </c>
      <c r="C28" t="s">
        <v>1</v>
      </c>
      <c r="D28" t="s">
        <v>1</v>
      </c>
      <c r="E28" s="36">
        <v>43622</v>
      </c>
      <c r="F28">
        <v>9</v>
      </c>
      <c r="G28" s="41">
        <v>40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  <c r="AU28">
        <v>0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0</v>
      </c>
      <c r="DG28">
        <v>0</v>
      </c>
      <c r="DH28">
        <v>0</v>
      </c>
      <c r="DI28">
        <v>0</v>
      </c>
      <c r="DJ28">
        <v>0</v>
      </c>
      <c r="DK28">
        <v>0</v>
      </c>
      <c r="DL28">
        <v>0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0</v>
      </c>
      <c r="EQ28">
        <v>0</v>
      </c>
      <c r="ER28">
        <v>0</v>
      </c>
      <c r="ES28">
        <v>0</v>
      </c>
      <c r="ET28">
        <v>0</v>
      </c>
      <c r="EU28">
        <v>0</v>
      </c>
      <c r="EV28">
        <v>0</v>
      </c>
      <c r="EW28">
        <v>56.230139999999999</v>
      </c>
      <c r="EX28">
        <v>55.371729999999999</v>
      </c>
      <c r="EY28">
        <v>55.181269999999998</v>
      </c>
      <c r="EZ28">
        <v>54.660049999999998</v>
      </c>
      <c r="FA28">
        <v>54.374850000000002</v>
      </c>
      <c r="FB28">
        <v>54.461979999999997</v>
      </c>
      <c r="FC28">
        <v>55.205919999999999</v>
      </c>
      <c r="FD28">
        <v>59.016359999999999</v>
      </c>
      <c r="FE28">
        <v>62.586770000000001</v>
      </c>
      <c r="FF28">
        <v>64.994479999999996</v>
      </c>
      <c r="FG28">
        <v>65.064859999999996</v>
      </c>
      <c r="FH28">
        <v>67.12433</v>
      </c>
      <c r="FI28">
        <v>67.483339999999998</v>
      </c>
      <c r="FJ28">
        <v>68.174319999999994</v>
      </c>
      <c r="FK28">
        <v>69.820909999999998</v>
      </c>
      <c r="FL28">
        <v>69.035889999999995</v>
      </c>
      <c r="FM28">
        <v>66.143749999999997</v>
      </c>
      <c r="FN28">
        <v>63.48104</v>
      </c>
      <c r="FO28">
        <v>61.295459999999999</v>
      </c>
      <c r="FP28">
        <v>59.102620000000002</v>
      </c>
      <c r="FQ28">
        <v>56.506230000000002</v>
      </c>
      <c r="FR28">
        <v>54.791759999999996</v>
      </c>
      <c r="FS28">
        <v>53.996139999999997</v>
      </c>
      <c r="FT28">
        <v>53.355589999999999</v>
      </c>
      <c r="FU28">
        <v>0</v>
      </c>
      <c r="FV28" s="24">
        <v>0</v>
      </c>
      <c r="FW28">
        <v>0.50442949999999998</v>
      </c>
      <c r="FX28">
        <v>0</v>
      </c>
    </row>
    <row r="29" spans="1:180" x14ac:dyDescent="0.4">
      <c r="A29" t="s">
        <v>1</v>
      </c>
      <c r="B29" t="s">
        <v>188</v>
      </c>
      <c r="C29" t="s">
        <v>1</v>
      </c>
      <c r="D29" t="s">
        <v>1</v>
      </c>
      <c r="E29" s="36">
        <v>43536</v>
      </c>
      <c r="F29">
        <v>35</v>
      </c>
      <c r="G29" s="41">
        <v>35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0</v>
      </c>
      <c r="EU29">
        <v>0</v>
      </c>
      <c r="EV29">
        <v>0</v>
      </c>
      <c r="EW29">
        <v>49.57235</v>
      </c>
      <c r="EX29">
        <v>48.032499999999999</v>
      </c>
      <c r="EY29">
        <v>47.112589999999997</v>
      </c>
      <c r="EZ29">
        <v>46.61674</v>
      </c>
      <c r="FA29">
        <v>46.119570000000003</v>
      </c>
      <c r="FB29">
        <v>45.493290000000002</v>
      </c>
      <c r="FC29">
        <v>46.0197</v>
      </c>
      <c r="FD29">
        <v>45.889389999999999</v>
      </c>
      <c r="FE29">
        <v>50.639479999999999</v>
      </c>
      <c r="FF29">
        <v>54.172150000000002</v>
      </c>
      <c r="FG29">
        <v>57.51173</v>
      </c>
      <c r="FH29">
        <v>59.588740000000001</v>
      </c>
      <c r="FI29">
        <v>60.520009999999999</v>
      </c>
      <c r="FJ29">
        <v>60.071480000000001</v>
      </c>
      <c r="FK29">
        <v>59.949829999999999</v>
      </c>
      <c r="FL29">
        <v>59.460239999999999</v>
      </c>
      <c r="FM29">
        <v>58.667290000000001</v>
      </c>
      <c r="FN29">
        <v>57.40269</v>
      </c>
      <c r="FO29">
        <v>55.436610000000002</v>
      </c>
      <c r="FP29">
        <v>53.549390000000002</v>
      </c>
      <c r="FQ29">
        <v>53.204459999999997</v>
      </c>
      <c r="FR29">
        <v>52.764270000000003</v>
      </c>
      <c r="FS29">
        <v>51.194519999999997</v>
      </c>
      <c r="FT29">
        <v>50.438099999999999</v>
      </c>
      <c r="FU29">
        <v>0</v>
      </c>
      <c r="FV29" s="24">
        <v>0</v>
      </c>
      <c r="FW29">
        <v>0.1911487</v>
      </c>
      <c r="FX29">
        <v>0</v>
      </c>
    </row>
    <row r="30" spans="1:180" x14ac:dyDescent="0.4">
      <c r="A30" t="s">
        <v>1</v>
      </c>
      <c r="B30" t="s">
        <v>188</v>
      </c>
      <c r="C30" t="s">
        <v>1</v>
      </c>
      <c r="D30" t="s">
        <v>1</v>
      </c>
      <c r="E30" s="36">
        <v>43744</v>
      </c>
      <c r="F30">
        <v>46</v>
      </c>
      <c r="G30" s="41">
        <v>46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0</v>
      </c>
      <c r="DG30">
        <v>0</v>
      </c>
      <c r="DH30">
        <v>0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0</v>
      </c>
      <c r="EU30">
        <v>0</v>
      </c>
      <c r="EV30">
        <v>0</v>
      </c>
      <c r="EW30">
        <v>59.419919999999998</v>
      </c>
      <c r="EX30">
        <v>58.441600000000001</v>
      </c>
      <c r="EY30">
        <v>57.43365</v>
      </c>
      <c r="EZ30">
        <v>56.418660000000003</v>
      </c>
      <c r="FA30">
        <v>56.71631</v>
      </c>
      <c r="FB30">
        <v>56.150950000000002</v>
      </c>
      <c r="FC30">
        <v>55.555990000000001</v>
      </c>
      <c r="FD30">
        <v>57.238999999999997</v>
      </c>
      <c r="FE30">
        <v>63.726610000000001</v>
      </c>
      <c r="FF30">
        <v>69.530420000000007</v>
      </c>
      <c r="FG30">
        <v>74.669330000000002</v>
      </c>
      <c r="FH30">
        <v>78.012020000000007</v>
      </c>
      <c r="FI30">
        <v>79.339489999999998</v>
      </c>
      <c r="FJ30">
        <v>82.98075</v>
      </c>
      <c r="FK30">
        <v>84.00224</v>
      </c>
      <c r="FL30">
        <v>85.100430000000003</v>
      </c>
      <c r="FM30">
        <v>83.363380000000006</v>
      </c>
      <c r="FN30">
        <v>79.646370000000005</v>
      </c>
      <c r="FO30">
        <v>75.439130000000006</v>
      </c>
      <c r="FP30">
        <v>74.008809999999997</v>
      </c>
      <c r="FQ30">
        <v>71.124030000000005</v>
      </c>
      <c r="FR30">
        <v>69.093999999999994</v>
      </c>
      <c r="FS30">
        <v>67.350560000000002</v>
      </c>
      <c r="FT30">
        <v>66.154820000000001</v>
      </c>
      <c r="FU30">
        <v>0</v>
      </c>
      <c r="FV30" s="24">
        <v>0</v>
      </c>
      <c r="FW30">
        <v>0.22690750000000001</v>
      </c>
      <c r="FX30">
        <v>0</v>
      </c>
    </row>
    <row r="31" spans="1:180" x14ac:dyDescent="0.4">
      <c r="A31" t="s">
        <v>1</v>
      </c>
      <c r="B31" t="s">
        <v>188</v>
      </c>
      <c r="C31" t="s">
        <v>1</v>
      </c>
      <c r="D31" t="s">
        <v>1</v>
      </c>
      <c r="E31" s="36" t="s">
        <v>2</v>
      </c>
      <c r="F31">
        <v>46</v>
      </c>
      <c r="G31" s="41">
        <v>46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0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0</v>
      </c>
      <c r="EQ31">
        <v>0</v>
      </c>
      <c r="ER31">
        <v>0</v>
      </c>
      <c r="ES31">
        <v>0</v>
      </c>
      <c r="ET31">
        <v>0</v>
      </c>
      <c r="EU31">
        <v>0</v>
      </c>
      <c r="EV31">
        <v>0</v>
      </c>
      <c r="EW31">
        <v>59.419919999999998</v>
      </c>
      <c r="EX31">
        <v>58.441600000000001</v>
      </c>
      <c r="EY31">
        <v>57.43365</v>
      </c>
      <c r="EZ31">
        <v>56.418660000000003</v>
      </c>
      <c r="FA31">
        <v>56.71631</v>
      </c>
      <c r="FB31">
        <v>56.150950000000002</v>
      </c>
      <c r="FC31">
        <v>55.555990000000001</v>
      </c>
      <c r="FD31">
        <v>57.238999999999997</v>
      </c>
      <c r="FE31">
        <v>63.726610000000001</v>
      </c>
      <c r="FF31">
        <v>69.530420000000007</v>
      </c>
      <c r="FG31">
        <v>74.669330000000002</v>
      </c>
      <c r="FH31">
        <v>78.012020000000007</v>
      </c>
      <c r="FI31">
        <v>79.339489999999998</v>
      </c>
      <c r="FJ31">
        <v>82.98075</v>
      </c>
      <c r="FK31">
        <v>84.00224</v>
      </c>
      <c r="FL31">
        <v>85.100430000000003</v>
      </c>
      <c r="FM31">
        <v>83.363380000000006</v>
      </c>
      <c r="FN31">
        <v>79.646370000000005</v>
      </c>
      <c r="FO31">
        <v>75.439130000000006</v>
      </c>
      <c r="FP31">
        <v>74.008809999999997</v>
      </c>
      <c r="FQ31">
        <v>71.124030000000005</v>
      </c>
      <c r="FR31">
        <v>69.093999999999994</v>
      </c>
      <c r="FS31">
        <v>67.350560000000002</v>
      </c>
      <c r="FT31">
        <v>66.154820000000001</v>
      </c>
      <c r="FU31">
        <v>0</v>
      </c>
      <c r="FV31" s="24">
        <v>0</v>
      </c>
      <c r="FW31">
        <v>0.22690750000000001</v>
      </c>
      <c r="FX31">
        <v>0</v>
      </c>
    </row>
    <row r="32" spans="1:180" x14ac:dyDescent="0.4">
      <c r="A32" t="s">
        <v>1</v>
      </c>
      <c r="B32" t="s">
        <v>189</v>
      </c>
      <c r="C32" t="s">
        <v>1</v>
      </c>
      <c r="D32" t="s">
        <v>1</v>
      </c>
      <c r="E32" s="36">
        <v>43807</v>
      </c>
      <c r="F32">
        <v>9</v>
      </c>
      <c r="G32" s="41">
        <v>9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0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0</v>
      </c>
      <c r="EM32">
        <v>0</v>
      </c>
      <c r="EN32">
        <v>0</v>
      </c>
      <c r="EO32">
        <v>0</v>
      </c>
      <c r="EP32">
        <v>0</v>
      </c>
      <c r="EQ32">
        <v>0</v>
      </c>
      <c r="ER32">
        <v>0</v>
      </c>
      <c r="ES32">
        <v>0</v>
      </c>
      <c r="ET32">
        <v>0</v>
      </c>
      <c r="EU32">
        <v>0</v>
      </c>
      <c r="EV32">
        <v>0</v>
      </c>
      <c r="EW32">
        <v>56</v>
      </c>
      <c r="EX32">
        <v>55</v>
      </c>
      <c r="EY32">
        <v>55</v>
      </c>
      <c r="EZ32">
        <v>55</v>
      </c>
      <c r="FA32">
        <v>54</v>
      </c>
      <c r="FB32">
        <v>53</v>
      </c>
      <c r="FC32">
        <v>53</v>
      </c>
      <c r="FD32">
        <v>53</v>
      </c>
      <c r="FE32">
        <v>55</v>
      </c>
      <c r="FF32">
        <v>58</v>
      </c>
      <c r="FG32">
        <v>61</v>
      </c>
      <c r="FH32">
        <v>62</v>
      </c>
      <c r="FI32">
        <v>58</v>
      </c>
      <c r="FJ32">
        <v>56</v>
      </c>
      <c r="FK32">
        <v>57</v>
      </c>
      <c r="FL32">
        <v>59</v>
      </c>
      <c r="FM32">
        <v>56</v>
      </c>
      <c r="FN32">
        <v>55</v>
      </c>
      <c r="FO32">
        <v>53</v>
      </c>
      <c r="FP32">
        <v>52</v>
      </c>
      <c r="FQ32">
        <v>53</v>
      </c>
      <c r="FR32">
        <v>52</v>
      </c>
      <c r="FS32">
        <v>52</v>
      </c>
      <c r="FT32">
        <v>51</v>
      </c>
      <c r="FU32">
        <v>0</v>
      </c>
      <c r="FV32" s="24">
        <v>0</v>
      </c>
      <c r="FW32">
        <v>0.83106579999999997</v>
      </c>
      <c r="FX32">
        <v>0</v>
      </c>
    </row>
    <row r="33" spans="1:180" x14ac:dyDescent="0.4">
      <c r="A33" t="s">
        <v>1</v>
      </c>
      <c r="B33" t="s">
        <v>189</v>
      </c>
      <c r="C33" t="s">
        <v>1</v>
      </c>
      <c r="D33" t="s">
        <v>1</v>
      </c>
      <c r="E33" s="36">
        <v>43519</v>
      </c>
      <c r="F33">
        <v>5</v>
      </c>
      <c r="G33" s="41">
        <v>142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41</v>
      </c>
      <c r="EX33">
        <v>39</v>
      </c>
      <c r="EY33">
        <v>38</v>
      </c>
      <c r="EZ33">
        <v>37</v>
      </c>
      <c r="FA33">
        <v>36</v>
      </c>
      <c r="FB33">
        <v>36</v>
      </c>
      <c r="FC33">
        <v>36</v>
      </c>
      <c r="FD33">
        <v>39</v>
      </c>
      <c r="FE33">
        <v>43</v>
      </c>
      <c r="FF33">
        <v>48</v>
      </c>
      <c r="FG33">
        <v>50</v>
      </c>
      <c r="FH33">
        <v>52</v>
      </c>
      <c r="FI33">
        <v>55</v>
      </c>
      <c r="FJ33">
        <v>55</v>
      </c>
      <c r="FK33">
        <v>57</v>
      </c>
      <c r="FL33">
        <v>57</v>
      </c>
      <c r="FM33">
        <v>57</v>
      </c>
      <c r="FN33">
        <v>55</v>
      </c>
      <c r="FO33">
        <v>53</v>
      </c>
      <c r="FP33">
        <v>51</v>
      </c>
      <c r="FQ33">
        <v>49</v>
      </c>
      <c r="FR33">
        <v>47</v>
      </c>
      <c r="FS33">
        <v>47</v>
      </c>
      <c r="FT33">
        <v>45</v>
      </c>
      <c r="FU33">
        <v>0</v>
      </c>
      <c r="FV33" s="24">
        <v>0</v>
      </c>
      <c r="FW33">
        <v>1</v>
      </c>
      <c r="FX33">
        <v>0</v>
      </c>
    </row>
    <row r="34" spans="1:180" x14ac:dyDescent="0.4">
      <c r="A34" t="s">
        <v>1</v>
      </c>
      <c r="B34" t="s">
        <v>189</v>
      </c>
      <c r="C34" t="s">
        <v>1</v>
      </c>
      <c r="D34" t="s">
        <v>1</v>
      </c>
      <c r="E34" s="36">
        <v>43622</v>
      </c>
      <c r="F34">
        <v>2</v>
      </c>
      <c r="G34" s="41">
        <v>153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  <c r="AU34">
        <v>0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BX34">
        <v>0</v>
      </c>
      <c r="BY34">
        <v>0</v>
      </c>
      <c r="BZ34">
        <v>0</v>
      </c>
      <c r="CA34">
        <v>0</v>
      </c>
      <c r="CB34">
        <v>0</v>
      </c>
      <c r="CC34">
        <v>0</v>
      </c>
      <c r="CD34">
        <v>0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0</v>
      </c>
      <c r="CM34">
        <v>0</v>
      </c>
      <c r="CN34">
        <v>0</v>
      </c>
      <c r="CO34">
        <v>0</v>
      </c>
      <c r="CP34">
        <v>0</v>
      </c>
      <c r="CQ34">
        <v>0</v>
      </c>
      <c r="CR34">
        <v>0</v>
      </c>
      <c r="CS34">
        <v>0</v>
      </c>
      <c r="CT34">
        <v>0</v>
      </c>
      <c r="CU34">
        <v>0</v>
      </c>
      <c r="CV34">
        <v>0</v>
      </c>
      <c r="CW34">
        <v>0</v>
      </c>
      <c r="CX34">
        <v>0</v>
      </c>
      <c r="CY34">
        <v>0</v>
      </c>
      <c r="CZ34">
        <v>0</v>
      </c>
      <c r="DA34">
        <v>0</v>
      </c>
      <c r="DB34">
        <v>0</v>
      </c>
      <c r="DC34">
        <v>0</v>
      </c>
      <c r="DD34">
        <v>0</v>
      </c>
      <c r="DE34">
        <v>0</v>
      </c>
      <c r="DF34">
        <v>0</v>
      </c>
      <c r="DG34">
        <v>0</v>
      </c>
      <c r="DH34">
        <v>0</v>
      </c>
      <c r="DI34">
        <v>0</v>
      </c>
      <c r="DJ34">
        <v>0</v>
      </c>
      <c r="DK34">
        <v>0</v>
      </c>
      <c r="DL34">
        <v>0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0</v>
      </c>
      <c r="EM34">
        <v>0</v>
      </c>
      <c r="EN34">
        <v>0</v>
      </c>
      <c r="EO34">
        <v>0</v>
      </c>
      <c r="EP34">
        <v>0</v>
      </c>
      <c r="EQ34">
        <v>0</v>
      </c>
      <c r="ER34">
        <v>0</v>
      </c>
      <c r="ES34">
        <v>0</v>
      </c>
      <c r="ET34">
        <v>0</v>
      </c>
      <c r="EU34">
        <v>0</v>
      </c>
      <c r="EV34">
        <v>0</v>
      </c>
      <c r="EW34">
        <v>82</v>
      </c>
      <c r="EX34">
        <v>80</v>
      </c>
      <c r="EY34">
        <v>79</v>
      </c>
      <c r="EZ34">
        <v>77</v>
      </c>
      <c r="FA34">
        <v>75</v>
      </c>
      <c r="FB34">
        <v>74</v>
      </c>
      <c r="FC34">
        <v>74.000010000000003</v>
      </c>
      <c r="FD34">
        <v>75</v>
      </c>
      <c r="FE34">
        <v>78</v>
      </c>
      <c r="FF34">
        <v>80</v>
      </c>
      <c r="FG34">
        <v>81</v>
      </c>
      <c r="FH34">
        <v>85</v>
      </c>
      <c r="FI34">
        <v>88</v>
      </c>
      <c r="FJ34">
        <v>89</v>
      </c>
      <c r="FK34">
        <v>91</v>
      </c>
      <c r="FL34">
        <v>91</v>
      </c>
      <c r="FM34">
        <v>91</v>
      </c>
      <c r="FN34">
        <v>91</v>
      </c>
      <c r="FO34">
        <v>88</v>
      </c>
      <c r="FP34">
        <v>85</v>
      </c>
      <c r="FQ34">
        <v>80</v>
      </c>
      <c r="FR34">
        <v>77</v>
      </c>
      <c r="FS34">
        <v>73</v>
      </c>
      <c r="FT34">
        <v>71</v>
      </c>
      <c r="FU34">
        <v>0</v>
      </c>
      <c r="FV34" s="24">
        <v>0</v>
      </c>
      <c r="FW34">
        <v>0.89722009999999996</v>
      </c>
      <c r="FX34">
        <v>0</v>
      </c>
    </row>
    <row r="35" spans="1:180" x14ac:dyDescent="0.4">
      <c r="A35" t="s">
        <v>1</v>
      </c>
      <c r="B35" t="s">
        <v>189</v>
      </c>
      <c r="C35" t="s">
        <v>1</v>
      </c>
      <c r="D35" t="s">
        <v>1</v>
      </c>
      <c r="E35" s="36">
        <v>43536</v>
      </c>
      <c r="F35">
        <v>137</v>
      </c>
      <c r="G35" s="41">
        <v>142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51</v>
      </c>
      <c r="EX35">
        <v>50.013979999999997</v>
      </c>
      <c r="EY35">
        <v>48.029710000000001</v>
      </c>
      <c r="EZ35">
        <v>46.021479999999997</v>
      </c>
      <c r="FA35">
        <v>45.020719999999997</v>
      </c>
      <c r="FB35">
        <v>44.039430000000003</v>
      </c>
      <c r="FC35">
        <v>43.112319999999997</v>
      </c>
      <c r="FD35">
        <v>44.020820000000001</v>
      </c>
      <c r="FE35">
        <v>46.15748</v>
      </c>
      <c r="FF35">
        <v>51.415089999999999</v>
      </c>
      <c r="FG35">
        <v>55.270470000000003</v>
      </c>
      <c r="FH35">
        <v>58.415190000000003</v>
      </c>
      <c r="FI35">
        <v>62.16292</v>
      </c>
      <c r="FJ35">
        <v>63.162590000000002</v>
      </c>
      <c r="FK35">
        <v>65</v>
      </c>
      <c r="FL35">
        <v>66.896799999999999</v>
      </c>
      <c r="FM35">
        <v>65.973399999999998</v>
      </c>
      <c r="FN35">
        <v>63.98809</v>
      </c>
      <c r="FO35">
        <v>61</v>
      </c>
      <c r="FP35">
        <v>56.034460000000003</v>
      </c>
      <c r="FQ35">
        <v>56</v>
      </c>
      <c r="FR35">
        <v>54</v>
      </c>
      <c r="FS35">
        <v>52</v>
      </c>
      <c r="FT35">
        <v>51</v>
      </c>
      <c r="FU35">
        <v>0</v>
      </c>
      <c r="FV35" s="24">
        <v>0</v>
      </c>
      <c r="FW35">
        <v>0.18909509999999999</v>
      </c>
      <c r="FX35">
        <v>0</v>
      </c>
    </row>
    <row r="36" spans="1:180" x14ac:dyDescent="0.4">
      <c r="A36" t="s">
        <v>1</v>
      </c>
      <c r="B36" t="s">
        <v>189</v>
      </c>
      <c r="C36" t="s">
        <v>1</v>
      </c>
      <c r="D36" t="s">
        <v>1</v>
      </c>
      <c r="E36" s="36">
        <v>43744</v>
      </c>
      <c r="F36">
        <v>174</v>
      </c>
      <c r="G36" s="41">
        <v>174</v>
      </c>
      <c r="H36">
        <v>5.1599998999999999</v>
      </c>
      <c r="I36">
        <v>15.10712</v>
      </c>
      <c r="J36">
        <v>15.08399</v>
      </c>
      <c r="K36">
        <v>14.842499999999999</v>
      </c>
      <c r="L36">
        <v>14.65794</v>
      </c>
      <c r="M36">
        <v>14.30461</v>
      </c>
      <c r="N36">
        <v>13.5327</v>
      </c>
      <c r="O36">
        <v>12.98667</v>
      </c>
      <c r="P36">
        <v>12.89565</v>
      </c>
      <c r="Q36">
        <v>12.718159999999999</v>
      </c>
      <c r="R36">
        <v>12.5137</v>
      </c>
      <c r="S36">
        <v>12.121740000000001</v>
      </c>
      <c r="T36">
        <v>12.01318</v>
      </c>
      <c r="U36">
        <v>12.0444</v>
      </c>
      <c r="V36">
        <v>11.937150000000001</v>
      </c>
      <c r="W36">
        <v>11.902480000000001</v>
      </c>
      <c r="X36">
        <v>12.11835</v>
      </c>
      <c r="Y36">
        <v>12.437530000000001</v>
      </c>
      <c r="Z36">
        <v>12.86247</v>
      </c>
      <c r="AA36">
        <v>13.15705</v>
      </c>
      <c r="AB36">
        <v>13.20848</v>
      </c>
      <c r="AC36">
        <v>13.30729</v>
      </c>
      <c r="AD36">
        <v>13.52079</v>
      </c>
      <c r="AE36">
        <v>13.686669999999999</v>
      </c>
      <c r="AF36">
        <v>14.53614</v>
      </c>
      <c r="AG36">
        <v>0.20769940000000001</v>
      </c>
      <c r="AH36">
        <v>0.1326099</v>
      </c>
      <c r="AI36">
        <v>0.15687709999999999</v>
      </c>
      <c r="AJ36">
        <v>0.23571600000000001</v>
      </c>
      <c r="AK36">
        <v>-4.3804299999999997E-2</v>
      </c>
      <c r="AL36">
        <v>-0.80709580000000003</v>
      </c>
      <c r="AM36">
        <v>-1.453729</v>
      </c>
      <c r="AN36">
        <v>-1.7171510000000001</v>
      </c>
      <c r="AO36">
        <v>-1.7049049999999999</v>
      </c>
      <c r="AP36">
        <v>-1.527099</v>
      </c>
      <c r="AQ36">
        <v>-1.7471829999999999</v>
      </c>
      <c r="AR36">
        <v>-1.6423559999999999</v>
      </c>
      <c r="AS36">
        <v>-1.562111</v>
      </c>
      <c r="AT36">
        <v>-1.6575359999999999</v>
      </c>
      <c r="AU36">
        <v>-1.689899</v>
      </c>
      <c r="AV36">
        <v>-1.5052319999999999</v>
      </c>
      <c r="AW36">
        <v>-0.76606980000000002</v>
      </c>
      <c r="AX36">
        <v>5.755865</v>
      </c>
      <c r="AY36">
        <v>6.1012769999999996</v>
      </c>
      <c r="AZ36">
        <v>2.914469</v>
      </c>
      <c r="BA36">
        <v>0.94537260000000001</v>
      </c>
      <c r="BB36">
        <v>0.85769550000000006</v>
      </c>
      <c r="BC36">
        <v>0.78092159999999999</v>
      </c>
      <c r="BD36">
        <v>1.397187</v>
      </c>
      <c r="BE36">
        <v>0.37943199999999999</v>
      </c>
      <c r="BF36">
        <v>0.29045840000000001</v>
      </c>
      <c r="BG36">
        <v>0.30253449999999998</v>
      </c>
      <c r="BH36">
        <v>0.3820094</v>
      </c>
      <c r="BI36">
        <v>7.3429900000000006E-2</v>
      </c>
      <c r="BJ36">
        <v>-0.70556160000000001</v>
      </c>
      <c r="BK36">
        <v>-1.312934</v>
      </c>
      <c r="BL36">
        <v>-1.559939</v>
      </c>
      <c r="BM36">
        <v>-1.538321</v>
      </c>
      <c r="BN36">
        <v>-1.3474349999999999</v>
      </c>
      <c r="BO36">
        <v>-1.563939</v>
      </c>
      <c r="BP36">
        <v>-1.453902</v>
      </c>
      <c r="BQ36">
        <v>-1.365348</v>
      </c>
      <c r="BR36">
        <v>-1.457444</v>
      </c>
      <c r="BS36">
        <v>-1.487574</v>
      </c>
      <c r="BT36">
        <v>-1.295806</v>
      </c>
      <c r="BU36">
        <v>-0.54997580000000001</v>
      </c>
      <c r="BV36">
        <v>5.9726869999999996</v>
      </c>
      <c r="BW36">
        <v>6.3169050000000002</v>
      </c>
      <c r="BX36">
        <v>3.1309429999999998</v>
      </c>
      <c r="BY36">
        <v>1.159707</v>
      </c>
      <c r="BZ36">
        <v>1.0747899999999999</v>
      </c>
      <c r="CA36">
        <v>1.0155339999999999</v>
      </c>
      <c r="CB36">
        <v>1.6414310000000001</v>
      </c>
      <c r="CC36">
        <v>0.49837350000000002</v>
      </c>
      <c r="CD36">
        <v>0.39978380000000002</v>
      </c>
      <c r="CE36">
        <v>0.40341640000000001</v>
      </c>
      <c r="CF36">
        <v>0.48333179999999998</v>
      </c>
      <c r="CG36">
        <v>0.15462590000000001</v>
      </c>
      <c r="CH36">
        <v>-0.63523940000000001</v>
      </c>
      <c r="CI36">
        <v>-1.2154199999999999</v>
      </c>
      <c r="CJ36">
        <v>-1.451055</v>
      </c>
      <c r="CK36">
        <v>-1.4229449999999999</v>
      </c>
      <c r="CL36">
        <v>-1.223001</v>
      </c>
      <c r="CM36">
        <v>-1.437025</v>
      </c>
      <c r="CN36">
        <v>-1.3233790000000001</v>
      </c>
      <c r="CO36">
        <v>-1.229071</v>
      </c>
      <c r="CP36">
        <v>-1.3188610000000001</v>
      </c>
      <c r="CQ36">
        <v>-1.3474440000000001</v>
      </c>
      <c r="CR36">
        <v>-1.1507579999999999</v>
      </c>
      <c r="CS36">
        <v>-0.40030959999999999</v>
      </c>
      <c r="CT36">
        <v>6.1228579999999999</v>
      </c>
      <c r="CU36">
        <v>6.4662490000000004</v>
      </c>
      <c r="CV36">
        <v>3.280872</v>
      </c>
      <c r="CW36">
        <v>1.308155</v>
      </c>
      <c r="CX36">
        <v>1.22515</v>
      </c>
      <c r="CY36">
        <v>1.1780250000000001</v>
      </c>
      <c r="CZ36">
        <v>1.8105929999999999</v>
      </c>
      <c r="DA36">
        <v>0.61731499999999995</v>
      </c>
      <c r="DB36">
        <v>0.50910920000000004</v>
      </c>
      <c r="DC36">
        <v>0.50429820000000003</v>
      </c>
      <c r="DD36">
        <v>0.58465420000000001</v>
      </c>
      <c r="DE36">
        <v>0.2358219</v>
      </c>
      <c r="DF36">
        <v>-0.56491709999999995</v>
      </c>
      <c r="DG36">
        <v>-1.1179060000000001</v>
      </c>
      <c r="DH36">
        <v>-1.342171</v>
      </c>
      <c r="DI36">
        <v>-1.3075699999999999</v>
      </c>
      <c r="DJ36">
        <v>-1.0985670000000001</v>
      </c>
      <c r="DK36">
        <v>-1.310111</v>
      </c>
      <c r="DL36">
        <v>-1.1928559999999999</v>
      </c>
      <c r="DM36">
        <v>-1.0927929999999999</v>
      </c>
      <c r="DN36">
        <v>-1.1802779999999999</v>
      </c>
      <c r="DO36">
        <v>-1.207314</v>
      </c>
      <c r="DP36">
        <v>-1.0057100000000001</v>
      </c>
      <c r="DQ36">
        <v>-0.25064350000000002</v>
      </c>
      <c r="DR36">
        <v>6.2730290000000002</v>
      </c>
      <c r="DS36">
        <v>6.6155920000000004</v>
      </c>
      <c r="DT36">
        <v>3.4308010000000002</v>
      </c>
      <c r="DU36">
        <v>1.456602</v>
      </c>
      <c r="DV36">
        <v>1.3755090000000001</v>
      </c>
      <c r="DW36">
        <v>1.340517</v>
      </c>
      <c r="DX36">
        <v>1.9797560000000001</v>
      </c>
      <c r="DY36">
        <v>0.78904759999999996</v>
      </c>
      <c r="DZ36">
        <v>0.66695769999999999</v>
      </c>
      <c r="EA36">
        <v>0.64995559999999997</v>
      </c>
      <c r="EB36">
        <v>0.73094760000000003</v>
      </c>
      <c r="EC36">
        <v>0.35305609999999998</v>
      </c>
      <c r="ED36">
        <v>-0.46338299999999999</v>
      </c>
      <c r="EE36">
        <v>-0.9771107</v>
      </c>
      <c r="EF36">
        <v>-1.1849590000000001</v>
      </c>
      <c r="EG36">
        <v>-1.1409860000000001</v>
      </c>
      <c r="EH36">
        <v>-0.91890360000000004</v>
      </c>
      <c r="EI36">
        <v>-1.126868</v>
      </c>
      <c r="EJ36">
        <v>-1.0044010000000001</v>
      </c>
      <c r="EK36">
        <v>-0.89602990000000005</v>
      </c>
      <c r="EL36">
        <v>-0.98018620000000001</v>
      </c>
      <c r="EM36">
        <v>-1.004988</v>
      </c>
      <c r="EN36">
        <v>-0.79628469999999996</v>
      </c>
      <c r="EO36">
        <v>-3.4549400000000001E-2</v>
      </c>
      <c r="EP36">
        <v>6.4898509999999998</v>
      </c>
      <c r="EQ36">
        <v>6.8312200000000001</v>
      </c>
      <c r="ER36">
        <v>3.6472739999999999</v>
      </c>
      <c r="ES36">
        <v>1.6709369999999999</v>
      </c>
      <c r="ET36">
        <v>1.5926039999999999</v>
      </c>
      <c r="EU36">
        <v>1.575129</v>
      </c>
      <c r="EV36">
        <v>2.2240000000000002</v>
      </c>
      <c r="EW36">
        <v>62</v>
      </c>
      <c r="EX36">
        <v>60.965020000000003</v>
      </c>
      <c r="EY36">
        <v>59</v>
      </c>
      <c r="EZ36">
        <v>57.963709999999999</v>
      </c>
      <c r="FA36">
        <v>56.963769999999997</v>
      </c>
      <c r="FB36">
        <v>56</v>
      </c>
      <c r="FC36">
        <v>55.927599999999998</v>
      </c>
      <c r="FD36">
        <v>56.964289999999998</v>
      </c>
      <c r="FE36">
        <v>62.914589999999997</v>
      </c>
      <c r="FF36">
        <v>68.886009999999999</v>
      </c>
      <c r="FG36">
        <v>73.912450000000007</v>
      </c>
      <c r="FH36">
        <v>77.911029999999997</v>
      </c>
      <c r="FI36">
        <v>80.940129999999996</v>
      </c>
      <c r="FJ36">
        <v>82.939769999999996</v>
      </c>
      <c r="FK36">
        <v>85.939769999999996</v>
      </c>
      <c r="FL36">
        <v>86.944590000000005</v>
      </c>
      <c r="FM36">
        <v>87.943179999999998</v>
      </c>
      <c r="FN36">
        <v>86.942189999999997</v>
      </c>
      <c r="FO36">
        <v>81.990049999999997</v>
      </c>
      <c r="FP36">
        <v>78.950699999999998</v>
      </c>
      <c r="FQ36">
        <v>76.851799999999997</v>
      </c>
      <c r="FR36">
        <v>75.750889999999998</v>
      </c>
      <c r="FS36">
        <v>71.890529999999998</v>
      </c>
      <c r="FT36">
        <v>70.826599999999999</v>
      </c>
      <c r="FU36">
        <v>0.21402350000000001</v>
      </c>
      <c r="FV36" s="24">
        <v>0.15684020000000001</v>
      </c>
      <c r="FW36">
        <v>0.1395141</v>
      </c>
      <c r="FX36">
        <v>1</v>
      </c>
    </row>
    <row r="37" spans="1:180" x14ac:dyDescent="0.4">
      <c r="A37" t="s">
        <v>1</v>
      </c>
      <c r="B37" t="s">
        <v>189</v>
      </c>
      <c r="C37" t="s">
        <v>1</v>
      </c>
      <c r="D37" t="s">
        <v>1</v>
      </c>
      <c r="E37" s="36" t="s">
        <v>2</v>
      </c>
      <c r="F37">
        <v>174</v>
      </c>
      <c r="G37" s="41">
        <v>174</v>
      </c>
      <c r="H37">
        <v>5.1599998999999999</v>
      </c>
      <c r="I37">
        <v>15.10712</v>
      </c>
      <c r="J37">
        <v>15.08399</v>
      </c>
      <c r="K37">
        <v>14.842499999999999</v>
      </c>
      <c r="L37">
        <v>14.65794</v>
      </c>
      <c r="M37">
        <v>14.30461</v>
      </c>
      <c r="N37">
        <v>13.5327</v>
      </c>
      <c r="O37">
        <v>12.98667</v>
      </c>
      <c r="P37">
        <v>12.89565</v>
      </c>
      <c r="Q37">
        <v>12.718159999999999</v>
      </c>
      <c r="R37">
        <v>12.5137</v>
      </c>
      <c r="S37">
        <v>12.121740000000001</v>
      </c>
      <c r="T37">
        <v>12.01318</v>
      </c>
      <c r="U37">
        <v>12.0444</v>
      </c>
      <c r="V37">
        <v>11.937150000000001</v>
      </c>
      <c r="W37">
        <v>11.902480000000001</v>
      </c>
      <c r="X37">
        <v>12.11835</v>
      </c>
      <c r="Y37">
        <v>12.437530000000001</v>
      </c>
      <c r="Z37">
        <v>12.86247</v>
      </c>
      <c r="AA37">
        <v>13.15705</v>
      </c>
      <c r="AB37">
        <v>13.20848</v>
      </c>
      <c r="AC37">
        <v>13.30729</v>
      </c>
      <c r="AD37">
        <v>13.52079</v>
      </c>
      <c r="AE37">
        <v>13.686669999999999</v>
      </c>
      <c r="AF37">
        <v>14.53614</v>
      </c>
      <c r="AG37">
        <v>0.20735519999999999</v>
      </c>
      <c r="AH37">
        <v>0.1318907</v>
      </c>
      <c r="AI37">
        <v>0.15615290000000001</v>
      </c>
      <c r="AJ37">
        <v>0.23495959999999999</v>
      </c>
      <c r="AK37">
        <v>-4.40696E-2</v>
      </c>
      <c r="AL37">
        <v>-0.8077474</v>
      </c>
      <c r="AM37">
        <v>-1.454426</v>
      </c>
      <c r="AN37">
        <v>-1.7177990000000001</v>
      </c>
      <c r="AO37">
        <v>-1.705592</v>
      </c>
      <c r="AP37">
        <v>-1.527774</v>
      </c>
      <c r="AQ37">
        <v>-1.7478180000000001</v>
      </c>
      <c r="AR37">
        <v>-1.6429560000000001</v>
      </c>
      <c r="AS37">
        <v>-1.562595</v>
      </c>
      <c r="AT37">
        <v>-1.658153</v>
      </c>
      <c r="AU37">
        <v>-1.690555</v>
      </c>
      <c r="AV37">
        <v>-1.5058499999999999</v>
      </c>
      <c r="AW37">
        <v>-0.76666469999999998</v>
      </c>
      <c r="AX37">
        <v>5.7552130000000004</v>
      </c>
      <c r="AY37">
        <v>6.1005560000000001</v>
      </c>
      <c r="AZ37">
        <v>2.9138060000000001</v>
      </c>
      <c r="BA37">
        <v>0.94474420000000003</v>
      </c>
      <c r="BB37">
        <v>0.85710719999999996</v>
      </c>
      <c r="BC37">
        <v>0.78103509999999998</v>
      </c>
      <c r="BD37">
        <v>1.3976459999999999</v>
      </c>
      <c r="BE37">
        <v>0.37929109999999999</v>
      </c>
      <c r="BF37">
        <v>0.29016409999999998</v>
      </c>
      <c r="BG37">
        <v>0.30223820000000001</v>
      </c>
      <c r="BH37">
        <v>0.38169989999999998</v>
      </c>
      <c r="BI37">
        <v>7.3321300000000006E-2</v>
      </c>
      <c r="BJ37">
        <v>-0.70582820000000002</v>
      </c>
      <c r="BK37">
        <v>-1.3132189999999999</v>
      </c>
      <c r="BL37">
        <v>-1.5602039999999999</v>
      </c>
      <c r="BM37">
        <v>-1.538602</v>
      </c>
      <c r="BN37">
        <v>-1.347712</v>
      </c>
      <c r="BO37">
        <v>-1.5641989999999999</v>
      </c>
      <c r="BP37">
        <v>-1.4541470000000001</v>
      </c>
      <c r="BQ37">
        <v>-1.3655459999999999</v>
      </c>
      <c r="BR37">
        <v>-1.457697</v>
      </c>
      <c r="BS37">
        <v>-1.4878420000000001</v>
      </c>
      <c r="BT37">
        <v>-1.2960590000000001</v>
      </c>
      <c r="BU37">
        <v>-0.55021920000000002</v>
      </c>
      <c r="BV37">
        <v>5.9724209999999998</v>
      </c>
      <c r="BW37">
        <v>6.3166099999999998</v>
      </c>
      <c r="BX37">
        <v>3.130671</v>
      </c>
      <c r="BY37">
        <v>1.1594500000000001</v>
      </c>
      <c r="BZ37">
        <v>1.0745499999999999</v>
      </c>
      <c r="CA37">
        <v>1.0155799999999999</v>
      </c>
      <c r="CB37">
        <v>1.6416189999999999</v>
      </c>
      <c r="CC37">
        <v>0.49837350000000002</v>
      </c>
      <c r="CD37">
        <v>0.39978380000000002</v>
      </c>
      <c r="CE37">
        <v>0.40341640000000001</v>
      </c>
      <c r="CF37">
        <v>0.48333179999999998</v>
      </c>
      <c r="CG37">
        <v>0.15462590000000001</v>
      </c>
      <c r="CH37">
        <v>-0.63523940000000001</v>
      </c>
      <c r="CI37">
        <v>-1.2154199999999999</v>
      </c>
      <c r="CJ37">
        <v>-1.451055</v>
      </c>
      <c r="CK37">
        <v>-1.4229449999999999</v>
      </c>
      <c r="CL37">
        <v>-1.223001</v>
      </c>
      <c r="CM37">
        <v>-1.437025</v>
      </c>
      <c r="CN37">
        <v>-1.3233790000000001</v>
      </c>
      <c r="CO37">
        <v>-1.229071</v>
      </c>
      <c r="CP37">
        <v>-1.3188610000000001</v>
      </c>
      <c r="CQ37">
        <v>-1.3474440000000001</v>
      </c>
      <c r="CR37">
        <v>-1.1507579999999999</v>
      </c>
      <c r="CS37">
        <v>-0.40030959999999999</v>
      </c>
      <c r="CT37">
        <v>6.1228579999999999</v>
      </c>
      <c r="CU37">
        <v>6.4662490000000004</v>
      </c>
      <c r="CV37">
        <v>3.280872</v>
      </c>
      <c r="CW37">
        <v>1.308155</v>
      </c>
      <c r="CX37">
        <v>1.22515</v>
      </c>
      <c r="CY37">
        <v>1.1780250000000001</v>
      </c>
      <c r="CZ37">
        <v>1.8105929999999999</v>
      </c>
      <c r="DA37">
        <v>0.6174558</v>
      </c>
      <c r="DB37">
        <v>0.50940350000000001</v>
      </c>
      <c r="DC37">
        <v>0.5045946</v>
      </c>
      <c r="DD37">
        <v>0.58496360000000003</v>
      </c>
      <c r="DE37">
        <v>0.23593049999999999</v>
      </c>
      <c r="DF37">
        <v>-0.56465050000000006</v>
      </c>
      <c r="DG37">
        <v>-1.117621</v>
      </c>
      <c r="DH37">
        <v>-1.3419049999999999</v>
      </c>
      <c r="DI37">
        <v>-1.307288</v>
      </c>
      <c r="DJ37">
        <v>-1.0982909999999999</v>
      </c>
      <c r="DK37">
        <v>-1.3098510000000001</v>
      </c>
      <c r="DL37">
        <v>-1.1926099999999999</v>
      </c>
      <c r="DM37">
        <v>-1.092595</v>
      </c>
      <c r="DN37">
        <v>-1.180026</v>
      </c>
      <c r="DO37">
        <v>-1.2070449999999999</v>
      </c>
      <c r="DP37">
        <v>-1.005457</v>
      </c>
      <c r="DQ37">
        <v>-0.25040010000000001</v>
      </c>
      <c r="DR37">
        <v>6.2732950000000001</v>
      </c>
      <c r="DS37">
        <v>6.6158869999999999</v>
      </c>
      <c r="DT37">
        <v>3.4310719999999999</v>
      </c>
      <c r="DU37">
        <v>1.45686</v>
      </c>
      <c r="DV37">
        <v>1.37575</v>
      </c>
      <c r="DW37">
        <v>1.3404700000000001</v>
      </c>
      <c r="DX37">
        <v>1.979568</v>
      </c>
      <c r="DY37">
        <v>0.78939179999999998</v>
      </c>
      <c r="DZ37">
        <v>0.66767679999999996</v>
      </c>
      <c r="EA37">
        <v>0.65067980000000003</v>
      </c>
      <c r="EB37">
        <v>0.73170389999999996</v>
      </c>
      <c r="EC37">
        <v>0.35332140000000001</v>
      </c>
      <c r="ED37">
        <v>-0.46273140000000001</v>
      </c>
      <c r="EE37">
        <v>-0.97641420000000001</v>
      </c>
      <c r="EF37">
        <v>-1.1843109999999999</v>
      </c>
      <c r="EG37">
        <v>-1.140298</v>
      </c>
      <c r="EH37">
        <v>-0.91822859999999995</v>
      </c>
      <c r="EI37">
        <v>-1.1262319999999999</v>
      </c>
      <c r="EJ37">
        <v>-1.0038009999999999</v>
      </c>
      <c r="EK37">
        <v>-0.8955457</v>
      </c>
      <c r="EL37">
        <v>-0.97956969999999999</v>
      </c>
      <c r="EM37">
        <v>-1.004332</v>
      </c>
      <c r="EN37">
        <v>-0.79566599999999998</v>
      </c>
      <c r="EO37">
        <v>-3.3954499999999999E-2</v>
      </c>
      <c r="EP37">
        <v>6.4905030000000004</v>
      </c>
      <c r="EQ37">
        <v>6.8319409999999996</v>
      </c>
      <c r="ER37">
        <v>3.6479379999999999</v>
      </c>
      <c r="ES37">
        <v>1.6715660000000001</v>
      </c>
      <c r="ET37">
        <v>1.5931919999999999</v>
      </c>
      <c r="EU37">
        <v>1.5750150000000001</v>
      </c>
      <c r="EV37">
        <v>2.223541</v>
      </c>
      <c r="EW37">
        <v>62</v>
      </c>
      <c r="EX37">
        <v>60.965020000000003</v>
      </c>
      <c r="EY37">
        <v>59</v>
      </c>
      <c r="EZ37">
        <v>57.963709999999999</v>
      </c>
      <c r="FA37">
        <v>56.963769999999997</v>
      </c>
      <c r="FB37">
        <v>56</v>
      </c>
      <c r="FC37">
        <v>55.927599999999998</v>
      </c>
      <c r="FD37">
        <v>56.964289999999998</v>
      </c>
      <c r="FE37">
        <v>62.914589999999997</v>
      </c>
      <c r="FF37">
        <v>68.886009999999999</v>
      </c>
      <c r="FG37">
        <v>73.912450000000007</v>
      </c>
      <c r="FH37">
        <v>77.911029999999997</v>
      </c>
      <c r="FI37">
        <v>80.940129999999996</v>
      </c>
      <c r="FJ37">
        <v>82.939769999999996</v>
      </c>
      <c r="FK37">
        <v>85.939769999999996</v>
      </c>
      <c r="FL37">
        <v>86.944590000000005</v>
      </c>
      <c r="FM37">
        <v>87.943179999999998</v>
      </c>
      <c r="FN37">
        <v>86.942189999999997</v>
      </c>
      <c r="FO37">
        <v>81.990049999999997</v>
      </c>
      <c r="FP37">
        <v>78.950699999999998</v>
      </c>
      <c r="FQ37">
        <v>76.851799999999997</v>
      </c>
      <c r="FR37">
        <v>75.750889999999998</v>
      </c>
      <c r="FS37">
        <v>71.890529999999998</v>
      </c>
      <c r="FT37">
        <v>70.826599999999999</v>
      </c>
      <c r="FU37">
        <v>0.2146709</v>
      </c>
      <c r="FV37" s="24">
        <v>0.15686839999999999</v>
      </c>
      <c r="FW37">
        <v>0.1395141</v>
      </c>
      <c r="FX37">
        <v>1</v>
      </c>
    </row>
    <row r="38" spans="1:180" x14ac:dyDescent="0.4">
      <c r="A38" t="s">
        <v>1</v>
      </c>
      <c r="B38" t="s">
        <v>190</v>
      </c>
      <c r="C38" t="s">
        <v>1</v>
      </c>
      <c r="D38" t="s">
        <v>1</v>
      </c>
      <c r="E38" s="36">
        <v>43807</v>
      </c>
      <c r="F38">
        <v>0</v>
      </c>
      <c r="G38" s="41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0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0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 s="24">
        <v>0</v>
      </c>
      <c r="FW38">
        <v>0</v>
      </c>
      <c r="FX38">
        <v>0</v>
      </c>
    </row>
    <row r="39" spans="1:180" x14ac:dyDescent="0.4">
      <c r="A39" t="s">
        <v>1</v>
      </c>
      <c r="B39" t="s">
        <v>190</v>
      </c>
      <c r="C39" t="s">
        <v>1</v>
      </c>
      <c r="D39" t="s">
        <v>1</v>
      </c>
      <c r="E39" s="36">
        <v>43519</v>
      </c>
      <c r="F39">
        <v>0</v>
      </c>
      <c r="G39" s="41">
        <v>1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0</v>
      </c>
      <c r="EQ39">
        <v>0</v>
      </c>
      <c r="ER39">
        <v>0</v>
      </c>
      <c r="ES39">
        <v>0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  <c r="FB39">
        <v>0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0</v>
      </c>
      <c r="FK39">
        <v>0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 s="24">
        <v>0</v>
      </c>
      <c r="FW39">
        <v>0</v>
      </c>
      <c r="FX39">
        <v>0</v>
      </c>
    </row>
    <row r="40" spans="1:180" x14ac:dyDescent="0.4">
      <c r="A40" t="s">
        <v>1</v>
      </c>
      <c r="B40" t="s">
        <v>190</v>
      </c>
      <c r="C40" t="s">
        <v>1</v>
      </c>
      <c r="D40" t="s">
        <v>1</v>
      </c>
      <c r="E40" s="36">
        <v>43622</v>
      </c>
      <c r="F40">
        <v>0</v>
      </c>
      <c r="G40" s="41">
        <v>1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0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 s="24">
        <v>0</v>
      </c>
      <c r="FW40">
        <v>0</v>
      </c>
      <c r="FX40">
        <v>0</v>
      </c>
    </row>
    <row r="41" spans="1:180" x14ac:dyDescent="0.4">
      <c r="A41" t="s">
        <v>1</v>
      </c>
      <c r="B41" t="s">
        <v>190</v>
      </c>
      <c r="C41" t="s">
        <v>1</v>
      </c>
      <c r="D41" t="s">
        <v>1</v>
      </c>
      <c r="E41" s="36">
        <v>43536</v>
      </c>
      <c r="F41">
        <v>1</v>
      </c>
      <c r="G41" s="41">
        <v>1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0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46</v>
      </c>
      <c r="EX41">
        <v>46</v>
      </c>
      <c r="EY41">
        <v>46</v>
      </c>
      <c r="EZ41">
        <v>46</v>
      </c>
      <c r="FA41">
        <v>46</v>
      </c>
      <c r="FB41">
        <v>46</v>
      </c>
      <c r="FC41">
        <v>45</v>
      </c>
      <c r="FD41">
        <v>46</v>
      </c>
      <c r="FE41">
        <v>46</v>
      </c>
      <c r="FF41">
        <v>47</v>
      </c>
      <c r="FG41">
        <v>46</v>
      </c>
      <c r="FH41">
        <v>49</v>
      </c>
      <c r="FI41">
        <v>50</v>
      </c>
      <c r="FJ41">
        <v>48</v>
      </c>
      <c r="FK41">
        <v>50</v>
      </c>
      <c r="FL41">
        <v>51</v>
      </c>
      <c r="FM41">
        <v>49</v>
      </c>
      <c r="FN41">
        <v>48</v>
      </c>
      <c r="FO41">
        <v>48</v>
      </c>
      <c r="FP41">
        <v>47</v>
      </c>
      <c r="FQ41">
        <v>47</v>
      </c>
      <c r="FR41">
        <v>46</v>
      </c>
      <c r="FS41">
        <v>45</v>
      </c>
      <c r="FT41">
        <v>44</v>
      </c>
      <c r="FU41">
        <v>0</v>
      </c>
      <c r="FV41" s="24">
        <v>0</v>
      </c>
      <c r="FW41">
        <v>1</v>
      </c>
      <c r="FX41">
        <v>0</v>
      </c>
    </row>
    <row r="42" spans="1:180" x14ac:dyDescent="0.4">
      <c r="A42" t="s">
        <v>1</v>
      </c>
      <c r="B42" t="s">
        <v>190</v>
      </c>
      <c r="C42" t="s">
        <v>1</v>
      </c>
      <c r="D42" t="s">
        <v>1</v>
      </c>
      <c r="E42" s="36">
        <v>43744</v>
      </c>
      <c r="F42">
        <v>1</v>
      </c>
      <c r="G42" s="41">
        <v>1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49</v>
      </c>
      <c r="EX42">
        <v>48</v>
      </c>
      <c r="EY42">
        <v>48</v>
      </c>
      <c r="EZ42">
        <v>49</v>
      </c>
      <c r="FA42">
        <v>48</v>
      </c>
      <c r="FB42">
        <v>47</v>
      </c>
      <c r="FC42">
        <v>47</v>
      </c>
      <c r="FD42">
        <v>47</v>
      </c>
      <c r="FE42">
        <v>52</v>
      </c>
      <c r="FF42">
        <v>57</v>
      </c>
      <c r="FG42">
        <v>62</v>
      </c>
      <c r="FH42">
        <v>66</v>
      </c>
      <c r="FI42">
        <v>67</v>
      </c>
      <c r="FJ42">
        <v>68</v>
      </c>
      <c r="FK42">
        <v>70</v>
      </c>
      <c r="FL42">
        <v>67</v>
      </c>
      <c r="FM42">
        <v>69</v>
      </c>
      <c r="FN42">
        <v>66</v>
      </c>
      <c r="FO42">
        <v>59</v>
      </c>
      <c r="FP42">
        <v>56</v>
      </c>
      <c r="FQ42">
        <v>54</v>
      </c>
      <c r="FR42">
        <v>52</v>
      </c>
      <c r="FS42">
        <v>51</v>
      </c>
      <c r="FT42">
        <v>50</v>
      </c>
      <c r="FU42">
        <v>0</v>
      </c>
      <c r="FV42" s="24">
        <v>0</v>
      </c>
      <c r="FW42">
        <v>1</v>
      </c>
      <c r="FX42">
        <v>0</v>
      </c>
    </row>
    <row r="43" spans="1:180" x14ac:dyDescent="0.4">
      <c r="A43" t="s">
        <v>1</v>
      </c>
      <c r="B43" t="s">
        <v>190</v>
      </c>
      <c r="C43" t="s">
        <v>1</v>
      </c>
      <c r="D43" t="s">
        <v>1</v>
      </c>
      <c r="E43" s="36" t="s">
        <v>2</v>
      </c>
      <c r="F43">
        <v>1</v>
      </c>
      <c r="G43" s="41">
        <v>1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0</v>
      </c>
      <c r="DD43">
        <v>0</v>
      </c>
      <c r="DE43">
        <v>0</v>
      </c>
      <c r="DF43">
        <v>0</v>
      </c>
      <c r="DG43">
        <v>0</v>
      </c>
      <c r="DH43">
        <v>0</v>
      </c>
      <c r="DI43">
        <v>0</v>
      </c>
      <c r="DJ43">
        <v>0</v>
      </c>
      <c r="DK43">
        <v>0</v>
      </c>
      <c r="DL43">
        <v>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0</v>
      </c>
      <c r="EM43">
        <v>0</v>
      </c>
      <c r="EN43">
        <v>0</v>
      </c>
      <c r="EO43">
        <v>0</v>
      </c>
      <c r="EP43">
        <v>0</v>
      </c>
      <c r="EQ43">
        <v>0</v>
      </c>
      <c r="ER43">
        <v>0</v>
      </c>
      <c r="ES43">
        <v>0</v>
      </c>
      <c r="ET43">
        <v>0</v>
      </c>
      <c r="EU43">
        <v>0</v>
      </c>
      <c r="EV43">
        <v>0</v>
      </c>
      <c r="EW43">
        <v>49</v>
      </c>
      <c r="EX43">
        <v>48</v>
      </c>
      <c r="EY43">
        <v>48</v>
      </c>
      <c r="EZ43">
        <v>49</v>
      </c>
      <c r="FA43">
        <v>48</v>
      </c>
      <c r="FB43">
        <v>47</v>
      </c>
      <c r="FC43">
        <v>47</v>
      </c>
      <c r="FD43">
        <v>47</v>
      </c>
      <c r="FE43">
        <v>52</v>
      </c>
      <c r="FF43">
        <v>57</v>
      </c>
      <c r="FG43">
        <v>62</v>
      </c>
      <c r="FH43">
        <v>66</v>
      </c>
      <c r="FI43">
        <v>67</v>
      </c>
      <c r="FJ43">
        <v>68</v>
      </c>
      <c r="FK43">
        <v>70</v>
      </c>
      <c r="FL43">
        <v>67</v>
      </c>
      <c r="FM43">
        <v>69</v>
      </c>
      <c r="FN43">
        <v>66</v>
      </c>
      <c r="FO43">
        <v>59</v>
      </c>
      <c r="FP43">
        <v>56</v>
      </c>
      <c r="FQ43">
        <v>54</v>
      </c>
      <c r="FR43">
        <v>52</v>
      </c>
      <c r="FS43">
        <v>51</v>
      </c>
      <c r="FT43">
        <v>50</v>
      </c>
      <c r="FU43">
        <v>0</v>
      </c>
      <c r="FV43" s="24">
        <v>0</v>
      </c>
      <c r="FW43">
        <v>1</v>
      </c>
      <c r="FX43">
        <v>0</v>
      </c>
    </row>
    <row r="44" spans="1:180" x14ac:dyDescent="0.4">
      <c r="A44" t="s">
        <v>1</v>
      </c>
      <c r="B44" t="s">
        <v>191</v>
      </c>
      <c r="C44" t="s">
        <v>1</v>
      </c>
      <c r="D44" t="s">
        <v>1</v>
      </c>
      <c r="E44" s="36">
        <v>43807</v>
      </c>
      <c r="F44">
        <v>1</v>
      </c>
      <c r="G44" s="41">
        <v>1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0</v>
      </c>
      <c r="DD44">
        <v>0</v>
      </c>
      <c r="DE44">
        <v>0</v>
      </c>
      <c r="DF44">
        <v>0</v>
      </c>
      <c r="DG44">
        <v>0</v>
      </c>
      <c r="DH44">
        <v>0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0</v>
      </c>
      <c r="EM44">
        <v>0</v>
      </c>
      <c r="EN44">
        <v>0</v>
      </c>
      <c r="EO44">
        <v>0</v>
      </c>
      <c r="EP44">
        <v>0</v>
      </c>
      <c r="EQ44">
        <v>0</v>
      </c>
      <c r="ER44">
        <v>0</v>
      </c>
      <c r="ES44">
        <v>0</v>
      </c>
      <c r="ET44">
        <v>0</v>
      </c>
      <c r="EU44">
        <v>0</v>
      </c>
      <c r="EV44">
        <v>0</v>
      </c>
      <c r="EW44">
        <v>56</v>
      </c>
      <c r="EX44">
        <v>55</v>
      </c>
      <c r="EY44">
        <v>55</v>
      </c>
      <c r="EZ44">
        <v>55</v>
      </c>
      <c r="FA44">
        <v>55</v>
      </c>
      <c r="FB44">
        <v>54</v>
      </c>
      <c r="FC44">
        <v>55</v>
      </c>
      <c r="FD44">
        <v>55</v>
      </c>
      <c r="FE44">
        <v>56</v>
      </c>
      <c r="FF44">
        <v>56</v>
      </c>
      <c r="FG44">
        <v>58</v>
      </c>
      <c r="FH44">
        <v>60</v>
      </c>
      <c r="FI44">
        <v>61</v>
      </c>
      <c r="FJ44">
        <v>62</v>
      </c>
      <c r="FK44">
        <v>62</v>
      </c>
      <c r="FL44">
        <v>53</v>
      </c>
      <c r="FM44">
        <v>54</v>
      </c>
      <c r="FN44">
        <v>54</v>
      </c>
      <c r="FO44">
        <v>53</v>
      </c>
      <c r="FP44">
        <v>52</v>
      </c>
      <c r="FQ44">
        <v>51</v>
      </c>
      <c r="FR44">
        <v>50</v>
      </c>
      <c r="FS44">
        <v>49</v>
      </c>
      <c r="FT44">
        <v>48</v>
      </c>
      <c r="FU44">
        <v>0</v>
      </c>
      <c r="FV44" s="24">
        <v>0</v>
      </c>
      <c r="FW44">
        <v>1</v>
      </c>
      <c r="FX44">
        <v>0</v>
      </c>
    </row>
    <row r="45" spans="1:180" x14ac:dyDescent="0.4">
      <c r="A45" t="s">
        <v>1</v>
      </c>
      <c r="B45" t="s">
        <v>191</v>
      </c>
      <c r="C45" t="s">
        <v>1</v>
      </c>
      <c r="D45" t="s">
        <v>1</v>
      </c>
      <c r="E45" s="36">
        <v>43519</v>
      </c>
      <c r="F45">
        <v>0</v>
      </c>
      <c r="G45" s="41">
        <v>22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  <c r="FB45">
        <v>0</v>
      </c>
      <c r="FC45">
        <v>0</v>
      </c>
      <c r="FD45">
        <v>0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 s="24">
        <v>0</v>
      </c>
      <c r="FW45">
        <v>0</v>
      </c>
      <c r="FX45">
        <v>0</v>
      </c>
    </row>
    <row r="46" spans="1:180" x14ac:dyDescent="0.4">
      <c r="A46" t="s">
        <v>1</v>
      </c>
      <c r="B46" t="s">
        <v>191</v>
      </c>
      <c r="C46" t="s">
        <v>1</v>
      </c>
      <c r="D46" t="s">
        <v>1</v>
      </c>
      <c r="E46" s="36">
        <v>43622</v>
      </c>
      <c r="F46">
        <v>1</v>
      </c>
      <c r="G46" s="41">
        <v>25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0</v>
      </c>
      <c r="DG46">
        <v>0</v>
      </c>
      <c r="DH46">
        <v>0</v>
      </c>
      <c r="DI46">
        <v>0</v>
      </c>
      <c r="DJ46">
        <v>0</v>
      </c>
      <c r="DK46">
        <v>0</v>
      </c>
      <c r="DL46">
        <v>0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0</v>
      </c>
      <c r="EM46">
        <v>0</v>
      </c>
      <c r="EN46">
        <v>0</v>
      </c>
      <c r="EO46">
        <v>0</v>
      </c>
      <c r="EP46">
        <v>0</v>
      </c>
      <c r="EQ46">
        <v>0</v>
      </c>
      <c r="ER46">
        <v>0</v>
      </c>
      <c r="ES46">
        <v>0</v>
      </c>
      <c r="ET46">
        <v>0</v>
      </c>
      <c r="EU46">
        <v>0</v>
      </c>
      <c r="EV46">
        <v>0</v>
      </c>
      <c r="EW46">
        <v>85</v>
      </c>
      <c r="EX46">
        <v>85</v>
      </c>
      <c r="EY46">
        <v>82</v>
      </c>
      <c r="EZ46">
        <v>80</v>
      </c>
      <c r="FA46">
        <v>78</v>
      </c>
      <c r="FB46">
        <v>77</v>
      </c>
      <c r="FC46">
        <v>78</v>
      </c>
      <c r="FD46">
        <v>80</v>
      </c>
      <c r="FE46">
        <v>82</v>
      </c>
      <c r="FF46">
        <v>84</v>
      </c>
      <c r="FG46">
        <v>88</v>
      </c>
      <c r="FH46">
        <v>89</v>
      </c>
      <c r="FI46">
        <v>90</v>
      </c>
      <c r="FJ46">
        <v>91</v>
      </c>
      <c r="FK46">
        <v>92</v>
      </c>
      <c r="FL46">
        <v>93</v>
      </c>
      <c r="FM46">
        <v>94</v>
      </c>
      <c r="FN46">
        <v>94</v>
      </c>
      <c r="FO46">
        <v>93</v>
      </c>
      <c r="FP46">
        <v>91</v>
      </c>
      <c r="FQ46">
        <v>88</v>
      </c>
      <c r="FR46">
        <v>84</v>
      </c>
      <c r="FS46">
        <v>81</v>
      </c>
      <c r="FT46">
        <v>76</v>
      </c>
      <c r="FU46">
        <v>0</v>
      </c>
      <c r="FV46" s="24">
        <v>0</v>
      </c>
      <c r="FW46">
        <v>1</v>
      </c>
      <c r="FX46">
        <v>0</v>
      </c>
    </row>
    <row r="47" spans="1:180" x14ac:dyDescent="0.4">
      <c r="A47" t="s">
        <v>1</v>
      </c>
      <c r="B47" t="s">
        <v>191</v>
      </c>
      <c r="C47" t="s">
        <v>1</v>
      </c>
      <c r="D47" t="s">
        <v>1</v>
      </c>
      <c r="E47" s="36">
        <v>43536</v>
      </c>
      <c r="F47">
        <v>22</v>
      </c>
      <c r="G47" s="41">
        <v>22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0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0</v>
      </c>
      <c r="EQ47">
        <v>0</v>
      </c>
      <c r="ER47">
        <v>0</v>
      </c>
      <c r="ES47">
        <v>0</v>
      </c>
      <c r="ET47">
        <v>0</v>
      </c>
      <c r="EU47">
        <v>0</v>
      </c>
      <c r="EV47">
        <v>0</v>
      </c>
      <c r="EW47">
        <v>52</v>
      </c>
      <c r="EX47">
        <v>51</v>
      </c>
      <c r="EY47">
        <v>50</v>
      </c>
      <c r="EZ47">
        <v>50</v>
      </c>
      <c r="FA47">
        <v>49</v>
      </c>
      <c r="FB47">
        <v>48</v>
      </c>
      <c r="FC47">
        <v>48</v>
      </c>
      <c r="FD47">
        <v>49</v>
      </c>
      <c r="FE47">
        <v>51</v>
      </c>
      <c r="FF47">
        <v>57</v>
      </c>
      <c r="FG47">
        <v>59</v>
      </c>
      <c r="FH47">
        <v>62</v>
      </c>
      <c r="FI47">
        <v>63</v>
      </c>
      <c r="FJ47">
        <v>65</v>
      </c>
      <c r="FK47">
        <v>66</v>
      </c>
      <c r="FL47">
        <v>68</v>
      </c>
      <c r="FM47">
        <v>68</v>
      </c>
      <c r="FN47">
        <v>67</v>
      </c>
      <c r="FO47">
        <v>65</v>
      </c>
      <c r="FP47">
        <v>64</v>
      </c>
      <c r="FQ47">
        <v>63</v>
      </c>
      <c r="FR47">
        <v>58</v>
      </c>
      <c r="FS47">
        <v>56</v>
      </c>
      <c r="FT47">
        <v>53</v>
      </c>
      <c r="FU47">
        <v>0</v>
      </c>
      <c r="FV47" s="24">
        <v>0</v>
      </c>
      <c r="FW47">
        <v>0.42939739999999998</v>
      </c>
      <c r="FX47">
        <v>0</v>
      </c>
    </row>
    <row r="48" spans="1:180" x14ac:dyDescent="0.4">
      <c r="A48" t="s">
        <v>1</v>
      </c>
      <c r="B48" t="s">
        <v>191</v>
      </c>
      <c r="C48" t="s">
        <v>1</v>
      </c>
      <c r="D48" t="s">
        <v>1</v>
      </c>
      <c r="E48" s="36">
        <v>43744</v>
      </c>
      <c r="F48">
        <v>40</v>
      </c>
      <c r="G48" s="41">
        <v>40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 s="31">
        <v>0</v>
      </c>
      <c r="CJ48">
        <v>0</v>
      </c>
      <c r="CK48">
        <v>0</v>
      </c>
      <c r="CL48" s="31">
        <v>0</v>
      </c>
      <c r="CM48">
        <v>0</v>
      </c>
      <c r="CN48">
        <v>0</v>
      </c>
      <c r="CO48" s="31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 s="31">
        <v>0</v>
      </c>
      <c r="DH48">
        <v>0</v>
      </c>
      <c r="DI48">
        <v>0</v>
      </c>
      <c r="DJ48" s="31">
        <v>0</v>
      </c>
      <c r="DK48">
        <v>0</v>
      </c>
      <c r="DL48">
        <v>0</v>
      </c>
      <c r="DM48" s="31">
        <v>0</v>
      </c>
      <c r="DN48">
        <v>0</v>
      </c>
      <c r="DO48">
        <v>0</v>
      </c>
      <c r="DP48">
        <v>0</v>
      </c>
      <c r="DQ48">
        <v>0</v>
      </c>
      <c r="DR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 s="31">
        <v>0</v>
      </c>
      <c r="EF48">
        <v>0</v>
      </c>
      <c r="EG48">
        <v>0</v>
      </c>
      <c r="EH48" s="31">
        <v>0</v>
      </c>
      <c r="EI48">
        <v>0</v>
      </c>
      <c r="EJ48">
        <v>0</v>
      </c>
      <c r="EK48" s="31">
        <v>0</v>
      </c>
      <c r="EL48">
        <v>0</v>
      </c>
      <c r="EM48">
        <v>0</v>
      </c>
      <c r="EN48" s="31">
        <v>0</v>
      </c>
      <c r="EO48">
        <v>0</v>
      </c>
      <c r="EP48">
        <v>0</v>
      </c>
      <c r="EQ48">
        <v>0</v>
      </c>
      <c r="ER48">
        <v>0</v>
      </c>
      <c r="ES48">
        <v>0</v>
      </c>
      <c r="ET48">
        <v>0</v>
      </c>
      <c r="EU48">
        <v>0</v>
      </c>
      <c r="EV48">
        <v>0</v>
      </c>
      <c r="EW48">
        <v>63</v>
      </c>
      <c r="EX48">
        <v>62</v>
      </c>
      <c r="EY48">
        <v>61</v>
      </c>
      <c r="EZ48">
        <v>59</v>
      </c>
      <c r="FA48">
        <v>57</v>
      </c>
      <c r="FB48">
        <v>56</v>
      </c>
      <c r="FC48">
        <v>55</v>
      </c>
      <c r="FD48">
        <v>57</v>
      </c>
      <c r="FE48">
        <v>63</v>
      </c>
      <c r="FF48">
        <v>69</v>
      </c>
      <c r="FG48">
        <v>72</v>
      </c>
      <c r="FH48">
        <v>76</v>
      </c>
      <c r="FI48">
        <v>79</v>
      </c>
      <c r="FJ48">
        <v>82</v>
      </c>
      <c r="FK48">
        <v>84</v>
      </c>
      <c r="FL48">
        <v>85</v>
      </c>
      <c r="FM48">
        <v>86</v>
      </c>
      <c r="FN48">
        <v>85</v>
      </c>
      <c r="FO48">
        <v>81</v>
      </c>
      <c r="FP48">
        <v>78</v>
      </c>
      <c r="FQ48">
        <v>73</v>
      </c>
      <c r="FR48">
        <v>71</v>
      </c>
      <c r="FS48">
        <v>69</v>
      </c>
      <c r="FT48">
        <v>66</v>
      </c>
      <c r="FU48">
        <v>0</v>
      </c>
      <c r="FV48" s="24">
        <v>0</v>
      </c>
      <c r="FW48">
        <v>0.44045709999999999</v>
      </c>
      <c r="FX48">
        <v>0</v>
      </c>
    </row>
    <row r="49" spans="1:180" x14ac:dyDescent="0.4">
      <c r="A49" t="s">
        <v>1</v>
      </c>
      <c r="B49" t="s">
        <v>191</v>
      </c>
      <c r="C49" t="s">
        <v>1</v>
      </c>
      <c r="D49" t="s">
        <v>1</v>
      </c>
      <c r="E49" s="36" t="s">
        <v>2</v>
      </c>
      <c r="F49">
        <v>40</v>
      </c>
      <c r="G49" s="41">
        <v>40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 s="31">
        <v>0</v>
      </c>
      <c r="CJ49">
        <v>0</v>
      </c>
      <c r="CK49">
        <v>0</v>
      </c>
      <c r="CL49" s="31">
        <v>0</v>
      </c>
      <c r="CM49">
        <v>0</v>
      </c>
      <c r="CN49">
        <v>0</v>
      </c>
      <c r="CO49" s="31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0</v>
      </c>
      <c r="DG49" s="31">
        <v>0</v>
      </c>
      <c r="DH49">
        <v>0</v>
      </c>
      <c r="DI49">
        <v>0</v>
      </c>
      <c r="DJ49" s="31">
        <v>0</v>
      </c>
      <c r="DK49">
        <v>0</v>
      </c>
      <c r="DL49">
        <v>0</v>
      </c>
      <c r="DM49" s="31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 s="31">
        <v>0</v>
      </c>
      <c r="EF49">
        <v>0</v>
      </c>
      <c r="EG49">
        <v>0</v>
      </c>
      <c r="EH49" s="31">
        <v>0</v>
      </c>
      <c r="EI49">
        <v>0</v>
      </c>
      <c r="EJ49">
        <v>0</v>
      </c>
      <c r="EK49" s="31">
        <v>0</v>
      </c>
      <c r="EL49">
        <v>0</v>
      </c>
      <c r="EM49">
        <v>0</v>
      </c>
      <c r="EN49" s="31">
        <v>0</v>
      </c>
      <c r="EO49">
        <v>0</v>
      </c>
      <c r="EP49">
        <v>0</v>
      </c>
      <c r="EQ49">
        <v>0</v>
      </c>
      <c r="ER49">
        <v>0</v>
      </c>
      <c r="ES49">
        <v>0</v>
      </c>
      <c r="ET49">
        <v>0</v>
      </c>
      <c r="EU49">
        <v>0</v>
      </c>
      <c r="EV49">
        <v>0</v>
      </c>
      <c r="EW49">
        <v>63</v>
      </c>
      <c r="EX49">
        <v>62</v>
      </c>
      <c r="EY49">
        <v>61</v>
      </c>
      <c r="EZ49">
        <v>59</v>
      </c>
      <c r="FA49">
        <v>57</v>
      </c>
      <c r="FB49">
        <v>56</v>
      </c>
      <c r="FC49">
        <v>55</v>
      </c>
      <c r="FD49">
        <v>57</v>
      </c>
      <c r="FE49">
        <v>63</v>
      </c>
      <c r="FF49">
        <v>69</v>
      </c>
      <c r="FG49">
        <v>72</v>
      </c>
      <c r="FH49">
        <v>76</v>
      </c>
      <c r="FI49">
        <v>79</v>
      </c>
      <c r="FJ49">
        <v>82</v>
      </c>
      <c r="FK49">
        <v>84</v>
      </c>
      <c r="FL49">
        <v>85</v>
      </c>
      <c r="FM49">
        <v>86</v>
      </c>
      <c r="FN49">
        <v>85</v>
      </c>
      <c r="FO49">
        <v>81</v>
      </c>
      <c r="FP49">
        <v>78</v>
      </c>
      <c r="FQ49">
        <v>73</v>
      </c>
      <c r="FR49">
        <v>71</v>
      </c>
      <c r="FS49">
        <v>69</v>
      </c>
      <c r="FT49">
        <v>66</v>
      </c>
      <c r="FU49">
        <v>0</v>
      </c>
      <c r="FV49" s="24">
        <v>0</v>
      </c>
      <c r="FW49">
        <v>0.44045709999999999</v>
      </c>
      <c r="FX49">
        <v>0</v>
      </c>
    </row>
    <row r="50" spans="1:180" x14ac:dyDescent="0.4">
      <c r="A50" t="s">
        <v>1</v>
      </c>
      <c r="B50" t="s">
        <v>192</v>
      </c>
      <c r="C50" t="s">
        <v>1</v>
      </c>
      <c r="D50" t="s">
        <v>1</v>
      </c>
      <c r="E50" s="36">
        <v>43807</v>
      </c>
      <c r="F50">
        <v>2</v>
      </c>
      <c r="G50" s="41">
        <v>2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0</v>
      </c>
      <c r="DG50">
        <v>0</v>
      </c>
      <c r="DH50">
        <v>0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52.112769999999998</v>
      </c>
      <c r="EX50">
        <v>51.222720000000002</v>
      </c>
      <c r="EY50">
        <v>51.334130000000002</v>
      </c>
      <c r="EZ50">
        <v>51.246200000000002</v>
      </c>
      <c r="FA50">
        <v>51.162759999999999</v>
      </c>
      <c r="FB50">
        <v>51.165990000000001</v>
      </c>
      <c r="FC50">
        <v>50.247680000000003</v>
      </c>
      <c r="FD50">
        <v>50.253779999999999</v>
      </c>
      <c r="FE50">
        <v>51.29</v>
      </c>
      <c r="FF50">
        <v>52.491219999999998</v>
      </c>
      <c r="FG50">
        <v>53.344639999999998</v>
      </c>
      <c r="FH50">
        <v>56.17353</v>
      </c>
      <c r="FI50">
        <v>58.087470000000003</v>
      </c>
      <c r="FJ50">
        <v>61</v>
      </c>
      <c r="FK50">
        <v>60.174079999999996</v>
      </c>
      <c r="FL50">
        <v>58.423870000000001</v>
      </c>
      <c r="FM50">
        <v>54.59393</v>
      </c>
      <c r="FN50">
        <v>53.34055</v>
      </c>
      <c r="FO50">
        <v>51.340020000000003</v>
      </c>
      <c r="FP50">
        <v>48.419530000000002</v>
      </c>
      <c r="FQ50">
        <v>46.511519999999997</v>
      </c>
      <c r="FR50">
        <v>44.584510000000002</v>
      </c>
      <c r="FS50">
        <v>43.493429999999996</v>
      </c>
      <c r="FT50">
        <v>45.252180000000003</v>
      </c>
      <c r="FU50">
        <v>0</v>
      </c>
      <c r="FV50" s="24">
        <v>0</v>
      </c>
      <c r="FW50">
        <v>0.91684960000000004</v>
      </c>
      <c r="FX50">
        <v>0</v>
      </c>
    </row>
    <row r="51" spans="1:180" x14ac:dyDescent="0.4">
      <c r="A51" t="s">
        <v>1</v>
      </c>
      <c r="B51" t="s">
        <v>192</v>
      </c>
      <c r="C51" t="s">
        <v>1</v>
      </c>
      <c r="D51" t="s">
        <v>1</v>
      </c>
      <c r="E51" s="36">
        <v>43519</v>
      </c>
      <c r="F51">
        <v>0</v>
      </c>
      <c r="G51" s="41">
        <v>9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0</v>
      </c>
      <c r="ES51">
        <v>0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0</v>
      </c>
      <c r="FH51">
        <v>0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 s="24">
        <v>0</v>
      </c>
      <c r="FW51">
        <v>0</v>
      </c>
      <c r="FX51">
        <v>0</v>
      </c>
    </row>
    <row r="52" spans="1:180" x14ac:dyDescent="0.4">
      <c r="A52" t="s">
        <v>1</v>
      </c>
      <c r="B52" t="s">
        <v>192</v>
      </c>
      <c r="C52" t="s">
        <v>1</v>
      </c>
      <c r="D52" t="s">
        <v>1</v>
      </c>
      <c r="E52" s="36">
        <v>43622</v>
      </c>
      <c r="F52">
        <v>0</v>
      </c>
      <c r="G52" s="41">
        <v>10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0</v>
      </c>
      <c r="EM52">
        <v>0</v>
      </c>
      <c r="EN52">
        <v>0</v>
      </c>
      <c r="EO52">
        <v>0</v>
      </c>
      <c r="EP52">
        <v>0</v>
      </c>
      <c r="EQ52">
        <v>0</v>
      </c>
      <c r="ER52">
        <v>0</v>
      </c>
      <c r="ES52">
        <v>0</v>
      </c>
      <c r="ET52">
        <v>0</v>
      </c>
      <c r="EU52">
        <v>0</v>
      </c>
      <c r="EV52">
        <v>0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0</v>
      </c>
      <c r="FC52">
        <v>0</v>
      </c>
      <c r="FD52">
        <v>0</v>
      </c>
      <c r="FE52">
        <v>0</v>
      </c>
      <c r="FF52">
        <v>0</v>
      </c>
      <c r="FG52">
        <v>0</v>
      </c>
      <c r="FH52">
        <v>0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 s="24">
        <v>0</v>
      </c>
      <c r="FW52">
        <v>0</v>
      </c>
      <c r="FX52">
        <v>0</v>
      </c>
    </row>
    <row r="53" spans="1:180" x14ac:dyDescent="0.4">
      <c r="A53" t="s">
        <v>1</v>
      </c>
      <c r="B53" t="s">
        <v>192</v>
      </c>
      <c r="C53" t="s">
        <v>1</v>
      </c>
      <c r="D53" t="s">
        <v>1</v>
      </c>
      <c r="E53" s="36">
        <v>43536</v>
      </c>
      <c r="F53">
        <v>10</v>
      </c>
      <c r="G53" s="41">
        <v>10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0</v>
      </c>
      <c r="EQ53">
        <v>0</v>
      </c>
      <c r="ER53">
        <v>0</v>
      </c>
      <c r="ES53">
        <v>0</v>
      </c>
      <c r="ET53">
        <v>0</v>
      </c>
      <c r="EU53">
        <v>0</v>
      </c>
      <c r="EV53">
        <v>0</v>
      </c>
      <c r="EW53">
        <v>43.37867</v>
      </c>
      <c r="EX53">
        <v>41.79383</v>
      </c>
      <c r="EY53">
        <v>44.255780000000001</v>
      </c>
      <c r="EZ53">
        <v>42.266170000000002</v>
      </c>
      <c r="FA53">
        <v>42.896169999999998</v>
      </c>
      <c r="FB53">
        <v>44.023350000000001</v>
      </c>
      <c r="FC53">
        <v>42.73254</v>
      </c>
      <c r="FD53">
        <v>45.988669999999999</v>
      </c>
      <c r="FE53">
        <v>47.976260000000003</v>
      </c>
      <c r="FF53">
        <v>51.628410000000002</v>
      </c>
      <c r="FG53">
        <v>55.441980000000001</v>
      </c>
      <c r="FH53">
        <v>56.49503</v>
      </c>
      <c r="FI53">
        <v>57.519440000000003</v>
      </c>
      <c r="FJ53">
        <v>59.415460000000003</v>
      </c>
      <c r="FK53">
        <v>59.981430000000003</v>
      </c>
      <c r="FL53">
        <v>60.723019999999998</v>
      </c>
      <c r="FM53">
        <v>59.701340000000002</v>
      </c>
      <c r="FN53">
        <v>56.85378</v>
      </c>
      <c r="FO53">
        <v>53.993740000000003</v>
      </c>
      <c r="FP53">
        <v>50.096179999999997</v>
      </c>
      <c r="FQ53">
        <v>48.887540000000001</v>
      </c>
      <c r="FR53">
        <v>47.675130000000003</v>
      </c>
      <c r="FS53">
        <v>46.128419999999998</v>
      </c>
      <c r="FT53">
        <v>44.579619999999998</v>
      </c>
      <c r="FU53">
        <v>0</v>
      </c>
      <c r="FV53" s="24">
        <v>0</v>
      </c>
      <c r="FW53">
        <v>0.49629420000000002</v>
      </c>
      <c r="FX53">
        <v>0</v>
      </c>
    </row>
    <row r="54" spans="1:180" x14ac:dyDescent="0.4">
      <c r="A54" t="s">
        <v>1</v>
      </c>
      <c r="B54" t="s">
        <v>192</v>
      </c>
      <c r="C54" t="s">
        <v>1</v>
      </c>
      <c r="D54" t="s">
        <v>1</v>
      </c>
      <c r="E54" s="36">
        <v>43744</v>
      </c>
      <c r="F54">
        <v>13</v>
      </c>
      <c r="G54" s="41">
        <v>13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52.747979999999998</v>
      </c>
      <c r="EX54">
        <v>50.686590000000002</v>
      </c>
      <c r="EY54">
        <v>50.697130000000001</v>
      </c>
      <c r="EZ54">
        <v>48.120379999999997</v>
      </c>
      <c r="FA54">
        <v>47.716059999999999</v>
      </c>
      <c r="FB54">
        <v>46.641260000000003</v>
      </c>
      <c r="FC54">
        <v>46.283520000000003</v>
      </c>
      <c r="FD54">
        <v>47.02375</v>
      </c>
      <c r="FE54">
        <v>53.752569999999999</v>
      </c>
      <c r="FF54">
        <v>60.705460000000002</v>
      </c>
      <c r="FG54">
        <v>67.888949999999994</v>
      </c>
      <c r="FH54">
        <v>74.373559999999998</v>
      </c>
      <c r="FI54">
        <v>79.398380000000003</v>
      </c>
      <c r="FJ54">
        <v>85.863150000000005</v>
      </c>
      <c r="FK54">
        <v>88.087810000000005</v>
      </c>
      <c r="FL54">
        <v>89.101489999999998</v>
      </c>
      <c r="FM54">
        <v>88.378339999999994</v>
      </c>
      <c r="FN54">
        <v>84.91422</v>
      </c>
      <c r="FO54">
        <v>78.697829999999996</v>
      </c>
      <c r="FP54">
        <v>71.522919999999999</v>
      </c>
      <c r="FQ54">
        <v>64.513900000000007</v>
      </c>
      <c r="FR54">
        <v>58.257330000000003</v>
      </c>
      <c r="FS54">
        <v>55.973610000000001</v>
      </c>
      <c r="FT54">
        <v>53.791960000000003</v>
      </c>
      <c r="FU54">
        <v>0</v>
      </c>
      <c r="FV54" s="24">
        <v>0</v>
      </c>
      <c r="FW54">
        <v>0.63634440000000003</v>
      </c>
      <c r="FX54">
        <v>0</v>
      </c>
    </row>
    <row r="55" spans="1:180" x14ac:dyDescent="0.4">
      <c r="A55" t="s">
        <v>1</v>
      </c>
      <c r="B55" t="s">
        <v>192</v>
      </c>
      <c r="C55" t="s">
        <v>1</v>
      </c>
      <c r="D55" t="s">
        <v>1</v>
      </c>
      <c r="E55" s="36" t="s">
        <v>2</v>
      </c>
      <c r="F55">
        <v>13</v>
      </c>
      <c r="G55" s="41">
        <v>13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0</v>
      </c>
      <c r="DG55">
        <v>0</v>
      </c>
      <c r="DH55">
        <v>0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0</v>
      </c>
      <c r="EQ55">
        <v>0</v>
      </c>
      <c r="ER55">
        <v>0</v>
      </c>
      <c r="ES55">
        <v>0</v>
      </c>
      <c r="ET55">
        <v>0</v>
      </c>
      <c r="EU55">
        <v>0</v>
      </c>
      <c r="EV55">
        <v>0</v>
      </c>
      <c r="EW55">
        <v>52.747979999999998</v>
      </c>
      <c r="EX55">
        <v>50.686590000000002</v>
      </c>
      <c r="EY55">
        <v>50.697130000000001</v>
      </c>
      <c r="EZ55">
        <v>48.120379999999997</v>
      </c>
      <c r="FA55">
        <v>47.716059999999999</v>
      </c>
      <c r="FB55">
        <v>46.641260000000003</v>
      </c>
      <c r="FC55">
        <v>46.283520000000003</v>
      </c>
      <c r="FD55">
        <v>47.02375</v>
      </c>
      <c r="FE55">
        <v>53.752569999999999</v>
      </c>
      <c r="FF55">
        <v>60.705460000000002</v>
      </c>
      <c r="FG55">
        <v>67.888949999999994</v>
      </c>
      <c r="FH55">
        <v>74.373559999999998</v>
      </c>
      <c r="FI55">
        <v>79.398380000000003</v>
      </c>
      <c r="FJ55">
        <v>85.863150000000005</v>
      </c>
      <c r="FK55">
        <v>88.087810000000005</v>
      </c>
      <c r="FL55">
        <v>89.101489999999998</v>
      </c>
      <c r="FM55">
        <v>88.378339999999994</v>
      </c>
      <c r="FN55">
        <v>84.91422</v>
      </c>
      <c r="FO55">
        <v>78.697829999999996</v>
      </c>
      <c r="FP55">
        <v>71.522919999999999</v>
      </c>
      <c r="FQ55">
        <v>64.513900000000007</v>
      </c>
      <c r="FR55">
        <v>58.257330000000003</v>
      </c>
      <c r="FS55">
        <v>55.973610000000001</v>
      </c>
      <c r="FT55">
        <v>53.791960000000003</v>
      </c>
      <c r="FU55">
        <v>0</v>
      </c>
      <c r="FV55" s="24">
        <v>0</v>
      </c>
      <c r="FW55">
        <v>0.63634440000000003</v>
      </c>
      <c r="FX55">
        <v>0</v>
      </c>
    </row>
    <row r="56" spans="1:180" x14ac:dyDescent="0.4">
      <c r="A56" t="s">
        <v>1</v>
      </c>
      <c r="B56" t="s">
        <v>193</v>
      </c>
      <c r="C56" t="s">
        <v>1</v>
      </c>
      <c r="D56" t="s">
        <v>1</v>
      </c>
      <c r="E56" s="36">
        <v>43807</v>
      </c>
      <c r="F56">
        <v>11</v>
      </c>
      <c r="G56" s="41">
        <v>11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0</v>
      </c>
      <c r="DK56">
        <v>0</v>
      </c>
      <c r="DL56">
        <v>0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0</v>
      </c>
      <c r="EM56">
        <v>0</v>
      </c>
      <c r="EN56">
        <v>0</v>
      </c>
      <c r="EO56">
        <v>0</v>
      </c>
      <c r="EP56">
        <v>0</v>
      </c>
      <c r="EQ56">
        <v>0</v>
      </c>
      <c r="ER56">
        <v>0</v>
      </c>
      <c r="ES56">
        <v>0</v>
      </c>
      <c r="ET56">
        <v>0</v>
      </c>
      <c r="EU56">
        <v>0</v>
      </c>
      <c r="EV56">
        <v>0</v>
      </c>
      <c r="EW56">
        <v>55.445500000000003</v>
      </c>
      <c r="EX56">
        <v>55.306060000000002</v>
      </c>
      <c r="EY56">
        <v>55.229320000000001</v>
      </c>
      <c r="EZ56">
        <v>54.481909999999999</v>
      </c>
      <c r="FA56">
        <v>54.564109999999999</v>
      </c>
      <c r="FB56">
        <v>54.26294</v>
      </c>
      <c r="FC56">
        <v>54.07985</v>
      </c>
      <c r="FD56">
        <v>54.515940000000001</v>
      </c>
      <c r="FE56">
        <v>55.661250000000003</v>
      </c>
      <c r="FF56">
        <v>56.87218</v>
      </c>
      <c r="FG56">
        <v>58.4039</v>
      </c>
      <c r="FH56">
        <v>58.777360000000002</v>
      </c>
      <c r="FI56">
        <v>59.409129999999998</v>
      </c>
      <c r="FJ56">
        <v>59.068959999999997</v>
      </c>
      <c r="FK56">
        <v>60.057690000000001</v>
      </c>
      <c r="FL56">
        <v>57.996000000000002</v>
      </c>
      <c r="FM56">
        <v>56.890050000000002</v>
      </c>
      <c r="FN56">
        <v>54.756019999999999</v>
      </c>
      <c r="FO56">
        <v>54.263449999999999</v>
      </c>
      <c r="FP56">
        <v>53.612870000000001</v>
      </c>
      <c r="FQ56">
        <v>52.705150000000003</v>
      </c>
      <c r="FR56">
        <v>52.181370000000001</v>
      </c>
      <c r="FS56">
        <v>50.774520000000003</v>
      </c>
      <c r="FT56">
        <v>49.228949999999998</v>
      </c>
      <c r="FU56">
        <v>0</v>
      </c>
      <c r="FV56" s="24">
        <v>0</v>
      </c>
      <c r="FW56">
        <v>0.36370659999999999</v>
      </c>
      <c r="FX56">
        <v>0</v>
      </c>
    </row>
    <row r="57" spans="1:180" x14ac:dyDescent="0.4">
      <c r="A57" t="s">
        <v>1</v>
      </c>
      <c r="B57" t="s">
        <v>193</v>
      </c>
      <c r="C57" t="s">
        <v>1</v>
      </c>
      <c r="D57" t="s">
        <v>1</v>
      </c>
      <c r="E57" s="36">
        <v>43519</v>
      </c>
      <c r="F57">
        <v>111</v>
      </c>
      <c r="G57" s="41">
        <v>174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0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0</v>
      </c>
      <c r="EM57">
        <v>0</v>
      </c>
      <c r="EN57">
        <v>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0</v>
      </c>
      <c r="EU57">
        <v>0</v>
      </c>
      <c r="EV57">
        <v>0</v>
      </c>
      <c r="EW57">
        <v>38.006320000000002</v>
      </c>
      <c r="EX57">
        <v>37.469000000000001</v>
      </c>
      <c r="EY57">
        <v>37.44079</v>
      </c>
      <c r="EZ57">
        <v>36.492870000000003</v>
      </c>
      <c r="FA57">
        <v>35.514560000000003</v>
      </c>
      <c r="FB57">
        <v>33.997779999999999</v>
      </c>
      <c r="FC57">
        <v>33.50667</v>
      </c>
      <c r="FD57">
        <v>39.97681</v>
      </c>
      <c r="FE57">
        <v>44.478650000000002</v>
      </c>
      <c r="FF57">
        <v>49.54956</v>
      </c>
      <c r="FG57">
        <v>54.52337</v>
      </c>
      <c r="FH57">
        <v>57.048050000000003</v>
      </c>
      <c r="FI57">
        <v>57.577860000000001</v>
      </c>
      <c r="FJ57">
        <v>58.40645</v>
      </c>
      <c r="FK57">
        <v>58.950449999999996</v>
      </c>
      <c r="FL57">
        <v>57.996769999999998</v>
      </c>
      <c r="FM57">
        <v>57.530160000000002</v>
      </c>
      <c r="FN57">
        <v>54.025179999999999</v>
      </c>
      <c r="FO57">
        <v>51.5625</v>
      </c>
      <c r="FP57">
        <v>50.544580000000003</v>
      </c>
      <c r="FQ57">
        <v>49.685220000000001</v>
      </c>
      <c r="FR57">
        <v>46.662999999999997</v>
      </c>
      <c r="FS57">
        <v>45.167870000000001</v>
      </c>
      <c r="FT57">
        <v>44.07985</v>
      </c>
      <c r="FU57">
        <v>0</v>
      </c>
      <c r="FV57" s="24">
        <v>0</v>
      </c>
      <c r="FW57">
        <v>0.1796364</v>
      </c>
      <c r="FX57">
        <v>0</v>
      </c>
    </row>
    <row r="58" spans="1:180" x14ac:dyDescent="0.4">
      <c r="A58" t="s">
        <v>1</v>
      </c>
      <c r="B58" t="s">
        <v>193</v>
      </c>
      <c r="C58" t="s">
        <v>1</v>
      </c>
      <c r="D58" t="s">
        <v>1</v>
      </c>
      <c r="E58" s="36">
        <v>43622</v>
      </c>
      <c r="F58">
        <v>7</v>
      </c>
      <c r="G58" s="41">
        <v>184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0</v>
      </c>
      <c r="DG58">
        <v>0</v>
      </c>
      <c r="DH58">
        <v>0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0</v>
      </c>
      <c r="EQ58">
        <v>0</v>
      </c>
      <c r="ER58">
        <v>0</v>
      </c>
      <c r="ES58">
        <v>0</v>
      </c>
      <c r="ET58">
        <v>0</v>
      </c>
      <c r="EU58">
        <v>0</v>
      </c>
      <c r="EV58">
        <v>0</v>
      </c>
      <c r="EW58">
        <v>74.192139999999995</v>
      </c>
      <c r="EX58">
        <v>72.525019999999998</v>
      </c>
      <c r="EY58">
        <v>71.325739999999996</v>
      </c>
      <c r="EZ58">
        <v>69.05932</v>
      </c>
      <c r="FA58">
        <v>66.467730000000003</v>
      </c>
      <c r="FB58">
        <v>64.18526</v>
      </c>
      <c r="FC58">
        <v>63.758960000000002</v>
      </c>
      <c r="FD58">
        <v>63.594000000000001</v>
      </c>
      <c r="FE58">
        <v>67.303120000000007</v>
      </c>
      <c r="FF58">
        <v>71.272509999999997</v>
      </c>
      <c r="FG58">
        <v>75.510919999999999</v>
      </c>
      <c r="FH58">
        <v>77.900090000000006</v>
      </c>
      <c r="FI58">
        <v>79.909679999999994</v>
      </c>
      <c r="FJ58">
        <v>79.872870000000006</v>
      </c>
      <c r="FK58">
        <v>80.725129999999993</v>
      </c>
      <c r="FL58">
        <v>80.897319999999993</v>
      </c>
      <c r="FM58">
        <v>79.738900000000001</v>
      </c>
      <c r="FN58">
        <v>79.075329999999994</v>
      </c>
      <c r="FO58">
        <v>76.547079999999994</v>
      </c>
      <c r="FP58">
        <v>71.50967</v>
      </c>
      <c r="FQ58">
        <v>67.557119999999998</v>
      </c>
      <c r="FR58">
        <v>64.524619999999999</v>
      </c>
      <c r="FS58">
        <v>62.209980000000002</v>
      </c>
      <c r="FT58">
        <v>60.326770000000003</v>
      </c>
      <c r="FU58">
        <v>0</v>
      </c>
      <c r="FV58" s="24">
        <v>0</v>
      </c>
      <c r="FW58">
        <v>0.46085789999999999</v>
      </c>
      <c r="FX58">
        <v>0</v>
      </c>
    </row>
    <row r="59" spans="1:180" x14ac:dyDescent="0.4">
      <c r="A59" t="s">
        <v>1</v>
      </c>
      <c r="B59" t="s">
        <v>193</v>
      </c>
      <c r="C59" t="s">
        <v>1</v>
      </c>
      <c r="D59" t="s">
        <v>1</v>
      </c>
      <c r="E59" s="36">
        <v>43536</v>
      </c>
      <c r="F59">
        <v>62</v>
      </c>
      <c r="G59" s="41">
        <v>175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0</v>
      </c>
      <c r="DD59">
        <v>0</v>
      </c>
      <c r="DE59">
        <v>0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0</v>
      </c>
      <c r="DS59">
        <v>0</v>
      </c>
      <c r="DT59">
        <v>0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49.629950000000001</v>
      </c>
      <c r="EX59">
        <v>47.986310000000003</v>
      </c>
      <c r="EY59">
        <v>47.19397</v>
      </c>
      <c r="EZ59">
        <v>46.165759999999999</v>
      </c>
      <c r="FA59">
        <v>45.610199999999999</v>
      </c>
      <c r="FB59">
        <v>45.273940000000003</v>
      </c>
      <c r="FC59">
        <v>45.516910000000003</v>
      </c>
      <c r="FD59">
        <v>46.146970000000003</v>
      </c>
      <c r="FE59">
        <v>49.890830000000001</v>
      </c>
      <c r="FF59">
        <v>54.728270000000002</v>
      </c>
      <c r="FG59">
        <v>57.122100000000003</v>
      </c>
      <c r="FH59">
        <v>60.009399999999999</v>
      </c>
      <c r="FI59">
        <v>60.968670000000003</v>
      </c>
      <c r="FJ59">
        <v>62.630240000000001</v>
      </c>
      <c r="FK59">
        <v>63.059510000000003</v>
      </c>
      <c r="FL59">
        <v>62.910449999999997</v>
      </c>
      <c r="FM59">
        <v>62.458150000000003</v>
      </c>
      <c r="FN59">
        <v>61.15117</v>
      </c>
      <c r="FO59">
        <v>59.055430000000001</v>
      </c>
      <c r="FP59">
        <v>56.656759999999998</v>
      </c>
      <c r="FQ59">
        <v>55.205730000000003</v>
      </c>
      <c r="FR59">
        <v>53.104500000000002</v>
      </c>
      <c r="FS59">
        <v>51.281829999999999</v>
      </c>
      <c r="FT59">
        <v>49.905850000000001</v>
      </c>
      <c r="FU59">
        <v>0</v>
      </c>
      <c r="FV59" s="24">
        <v>0</v>
      </c>
      <c r="FW59">
        <v>0.161602</v>
      </c>
      <c r="FX59">
        <v>0</v>
      </c>
    </row>
    <row r="60" spans="1:180" x14ac:dyDescent="0.4">
      <c r="A60" t="s">
        <v>1</v>
      </c>
      <c r="B60" t="s">
        <v>193</v>
      </c>
      <c r="C60" t="s">
        <v>1</v>
      </c>
      <c r="D60" t="s">
        <v>1</v>
      </c>
      <c r="E60" s="36">
        <v>43744</v>
      </c>
      <c r="F60">
        <v>194</v>
      </c>
      <c r="G60" s="41">
        <v>194</v>
      </c>
      <c r="H60">
        <v>42.174999999999997</v>
      </c>
      <c r="I60">
        <v>155.4906</v>
      </c>
      <c r="J60">
        <v>154.22499999999999</v>
      </c>
      <c r="K60">
        <v>151.19999999999999</v>
      </c>
      <c r="L60">
        <v>150.21019999999999</v>
      </c>
      <c r="M60">
        <v>148.5206</v>
      </c>
      <c r="N60">
        <v>148.69749999999999</v>
      </c>
      <c r="O60">
        <v>147.4409</v>
      </c>
      <c r="P60">
        <v>146.40049999999999</v>
      </c>
      <c r="Q60">
        <v>146.80029999999999</v>
      </c>
      <c r="R60">
        <v>146.29920000000001</v>
      </c>
      <c r="S60">
        <v>146.78</v>
      </c>
      <c r="T60">
        <v>147.5521</v>
      </c>
      <c r="U60">
        <v>148.1651</v>
      </c>
      <c r="V60">
        <v>149.72540000000001</v>
      </c>
      <c r="W60">
        <v>149.45359999999999</v>
      </c>
      <c r="X60">
        <v>149.76419999999999</v>
      </c>
      <c r="Y60">
        <v>150.71899999999999</v>
      </c>
      <c r="Z60">
        <v>152.87540000000001</v>
      </c>
      <c r="AA60">
        <v>155.69059999999999</v>
      </c>
      <c r="AB60">
        <v>156.95400000000001</v>
      </c>
      <c r="AC60">
        <v>155.9419</v>
      </c>
      <c r="AD60">
        <v>156.62970000000001</v>
      </c>
      <c r="AE60">
        <v>157.7148</v>
      </c>
      <c r="AF60">
        <v>161.23779999999999</v>
      </c>
      <c r="AG60">
        <v>1.770748</v>
      </c>
      <c r="AH60">
        <v>0.22554289999999999</v>
      </c>
      <c r="AI60">
        <v>-1.3080510000000001</v>
      </c>
      <c r="AJ60">
        <v>-1.4302680000000001</v>
      </c>
      <c r="AK60">
        <v>0.80923319999999999</v>
      </c>
      <c r="AL60">
        <v>0.44796059999999999</v>
      </c>
      <c r="AM60">
        <v>-1.042543</v>
      </c>
      <c r="AN60">
        <v>-8.7782600000000002E-2</v>
      </c>
      <c r="AO60">
        <v>-0.63963879999999995</v>
      </c>
      <c r="AP60">
        <v>0.55385399999999996</v>
      </c>
      <c r="AQ60">
        <v>0.64956000000000003</v>
      </c>
      <c r="AR60">
        <v>1.176566</v>
      </c>
      <c r="AS60">
        <v>2.7933560000000002</v>
      </c>
      <c r="AT60">
        <v>3.5453450000000002</v>
      </c>
      <c r="AU60">
        <v>4.033817</v>
      </c>
      <c r="AV60">
        <v>3.1936589999999998</v>
      </c>
      <c r="AW60">
        <v>29.762229999999999</v>
      </c>
      <c r="AX60">
        <v>107.24590000000001</v>
      </c>
      <c r="AY60">
        <v>110.48779999999999</v>
      </c>
      <c r="AZ60">
        <v>84.130309999999994</v>
      </c>
      <c r="BA60">
        <v>60.12171</v>
      </c>
      <c r="BB60">
        <v>53.078060000000001</v>
      </c>
      <c r="BC60">
        <v>48.973750000000003</v>
      </c>
      <c r="BD60">
        <v>48.497990000000001</v>
      </c>
      <c r="BE60">
        <v>2.8753350000000002</v>
      </c>
      <c r="BF60">
        <v>1.0966450000000001</v>
      </c>
      <c r="BG60">
        <v>-0.59961450000000005</v>
      </c>
      <c r="BH60">
        <v>-0.64990250000000005</v>
      </c>
      <c r="BI60">
        <v>1.496564</v>
      </c>
      <c r="BJ60">
        <v>1.077766</v>
      </c>
      <c r="BK60">
        <v>-0.34236929999999999</v>
      </c>
      <c r="BL60">
        <v>0.56472619999999996</v>
      </c>
      <c r="BM60">
        <v>1.4966399999999999E-2</v>
      </c>
      <c r="BN60">
        <v>1.271935</v>
      </c>
      <c r="BO60">
        <v>1.4906170000000001</v>
      </c>
      <c r="BP60">
        <v>2.0968900000000001</v>
      </c>
      <c r="BQ60">
        <v>3.8056640000000002</v>
      </c>
      <c r="BR60">
        <v>4.6656219999999999</v>
      </c>
      <c r="BS60">
        <v>5.1672599999999997</v>
      </c>
      <c r="BT60">
        <v>4.4361879999999996</v>
      </c>
      <c r="BU60">
        <v>31.187349999999999</v>
      </c>
      <c r="BV60">
        <v>109.1358</v>
      </c>
      <c r="BW60">
        <v>112.48220000000001</v>
      </c>
      <c r="BX60">
        <v>86.070250000000001</v>
      </c>
      <c r="BY60">
        <v>62.046999999999997</v>
      </c>
      <c r="BZ60">
        <v>54.986710000000002</v>
      </c>
      <c r="CA60">
        <v>50.951450000000001</v>
      </c>
      <c r="CB60">
        <v>50.612699999999997</v>
      </c>
      <c r="CC60">
        <v>3.6403690000000002</v>
      </c>
      <c r="CD60">
        <v>1.699967</v>
      </c>
      <c r="CE60">
        <v>-0.1089532</v>
      </c>
      <c r="CF60">
        <v>-0.1094239</v>
      </c>
      <c r="CG60">
        <v>1.972607</v>
      </c>
      <c r="CH60">
        <v>1.5139670000000001</v>
      </c>
      <c r="CI60">
        <v>0.14256869999999999</v>
      </c>
      <c r="CJ60">
        <v>1.0166519999999999</v>
      </c>
      <c r="CK60">
        <v>0.46834389999999998</v>
      </c>
      <c r="CL60">
        <v>1.7692760000000001</v>
      </c>
      <c r="CM60">
        <v>2.0731310000000001</v>
      </c>
      <c r="CN60">
        <v>2.7343039999999998</v>
      </c>
      <c r="CO60">
        <v>4.5067849999999998</v>
      </c>
      <c r="CP60">
        <v>5.441522</v>
      </c>
      <c r="CQ60">
        <v>5.95228</v>
      </c>
      <c r="CR60">
        <v>5.2967589999999998</v>
      </c>
      <c r="CS60">
        <v>32.174390000000002</v>
      </c>
      <c r="CT60">
        <v>110.4448</v>
      </c>
      <c r="CU60">
        <v>113.8635</v>
      </c>
      <c r="CV60">
        <v>87.413849999999996</v>
      </c>
      <c r="CW60">
        <v>63.380459999999999</v>
      </c>
      <c r="CX60">
        <v>56.308639999999997</v>
      </c>
      <c r="CY60">
        <v>52.321190000000001</v>
      </c>
      <c r="CZ60">
        <v>52.07734</v>
      </c>
      <c r="DA60">
        <v>4.4054029999999997</v>
      </c>
      <c r="DB60">
        <v>2.3032889999999999</v>
      </c>
      <c r="DC60">
        <v>0.38170809999999999</v>
      </c>
      <c r="DD60">
        <v>0.43105480000000002</v>
      </c>
      <c r="DE60">
        <v>2.4486500000000002</v>
      </c>
      <c r="DF60">
        <v>1.950169</v>
      </c>
      <c r="DG60">
        <v>0.62750669999999997</v>
      </c>
      <c r="DH60">
        <v>1.4685779999999999</v>
      </c>
      <c r="DI60">
        <v>0.92172140000000002</v>
      </c>
      <c r="DJ60">
        <v>2.2666170000000001</v>
      </c>
      <c r="DK60">
        <v>2.6556449999999998</v>
      </c>
      <c r="DL60">
        <v>3.3717190000000001</v>
      </c>
      <c r="DM60">
        <v>5.2079069999999996</v>
      </c>
      <c r="DN60">
        <v>6.217422</v>
      </c>
      <c r="DO60">
        <v>6.7373000000000003</v>
      </c>
      <c r="DP60">
        <v>6.1573310000000001</v>
      </c>
      <c r="DQ60">
        <v>33.16142</v>
      </c>
      <c r="DR60">
        <v>111.7538</v>
      </c>
      <c r="DS60">
        <v>115.2448</v>
      </c>
      <c r="DT60">
        <v>88.757450000000006</v>
      </c>
      <c r="DU60">
        <v>64.713909999999998</v>
      </c>
      <c r="DV60">
        <v>57.630569999999999</v>
      </c>
      <c r="DW60">
        <v>53.690939999999998</v>
      </c>
      <c r="DX60">
        <v>53.541969999999999</v>
      </c>
      <c r="DY60">
        <v>5.5099900000000002</v>
      </c>
      <c r="DZ60">
        <v>3.174391</v>
      </c>
      <c r="EA60">
        <v>1.0901449999999999</v>
      </c>
      <c r="EB60">
        <v>1.2114199999999999</v>
      </c>
      <c r="EC60">
        <v>3.13598</v>
      </c>
      <c r="ED60">
        <v>2.579974</v>
      </c>
      <c r="EE60">
        <v>1.32768</v>
      </c>
      <c r="EF60">
        <v>2.121086</v>
      </c>
      <c r="EG60">
        <v>1.5763259999999999</v>
      </c>
      <c r="EH60">
        <v>2.9846979999999999</v>
      </c>
      <c r="EI60">
        <v>3.496702</v>
      </c>
      <c r="EJ60">
        <v>4.2920429999999996</v>
      </c>
      <c r="EK60">
        <v>6.2202140000000004</v>
      </c>
      <c r="EL60">
        <v>7.3376989999999997</v>
      </c>
      <c r="EM60">
        <v>7.870743</v>
      </c>
      <c r="EN60">
        <v>7.3998590000000002</v>
      </c>
      <c r="EO60">
        <v>34.586539999999999</v>
      </c>
      <c r="EP60">
        <v>113.6437</v>
      </c>
      <c r="EQ60">
        <v>117.23909999999999</v>
      </c>
      <c r="ER60">
        <v>90.697389999999999</v>
      </c>
      <c r="ES60">
        <v>66.639210000000006</v>
      </c>
      <c r="ET60">
        <v>59.53922</v>
      </c>
      <c r="EU60">
        <v>55.66863</v>
      </c>
      <c r="EV60">
        <v>55.656680000000001</v>
      </c>
      <c r="EW60">
        <v>60.351799999999997</v>
      </c>
      <c r="EX60">
        <v>59.145110000000003</v>
      </c>
      <c r="EY60">
        <v>58.310409999999997</v>
      </c>
      <c r="EZ60">
        <v>57.063420000000001</v>
      </c>
      <c r="FA60">
        <v>56.151350000000001</v>
      </c>
      <c r="FB60">
        <v>55.161160000000002</v>
      </c>
      <c r="FC60">
        <v>54.479309999999998</v>
      </c>
      <c r="FD60">
        <v>55.95579</v>
      </c>
      <c r="FE60">
        <v>63.180970000000002</v>
      </c>
      <c r="FF60">
        <v>69.632580000000004</v>
      </c>
      <c r="FG60">
        <v>74.141559999999998</v>
      </c>
      <c r="FH60">
        <v>77.331819999999993</v>
      </c>
      <c r="FI60">
        <v>79.636049999999997</v>
      </c>
      <c r="FJ60">
        <v>81.939250000000001</v>
      </c>
      <c r="FK60">
        <v>83.495859999999993</v>
      </c>
      <c r="FL60">
        <v>84.336190000000002</v>
      </c>
      <c r="FM60">
        <v>84.39873</v>
      </c>
      <c r="FN60">
        <v>83.262429999999995</v>
      </c>
      <c r="FO60">
        <v>78.444500000000005</v>
      </c>
      <c r="FP60">
        <v>73.987210000000005</v>
      </c>
      <c r="FQ60">
        <v>69.624700000000004</v>
      </c>
      <c r="FR60">
        <v>67.292190000000005</v>
      </c>
      <c r="FS60">
        <v>65.172659999999993</v>
      </c>
      <c r="FT60">
        <v>63.4846</v>
      </c>
      <c r="FU60">
        <v>1.9145380000000001</v>
      </c>
      <c r="FV60" s="24">
        <v>2.3667760000000002</v>
      </c>
      <c r="FW60">
        <v>0.12151389999999999</v>
      </c>
      <c r="FX60">
        <v>1</v>
      </c>
    </row>
    <row r="61" spans="1:180" x14ac:dyDescent="0.4">
      <c r="A61" t="s">
        <v>1</v>
      </c>
      <c r="B61" t="s">
        <v>193</v>
      </c>
      <c r="C61" t="s">
        <v>1</v>
      </c>
      <c r="D61" t="s">
        <v>1</v>
      </c>
      <c r="E61" s="36" t="s">
        <v>2</v>
      </c>
      <c r="F61">
        <v>194</v>
      </c>
      <c r="G61" s="41">
        <v>194</v>
      </c>
      <c r="H61">
        <v>42.174999999999997</v>
      </c>
      <c r="I61">
        <v>155.4906</v>
      </c>
      <c r="J61">
        <v>154.22499999999999</v>
      </c>
      <c r="K61">
        <v>151.19999999999999</v>
      </c>
      <c r="L61">
        <v>150.21019999999999</v>
      </c>
      <c r="M61">
        <v>148.5206</v>
      </c>
      <c r="N61">
        <v>148.69749999999999</v>
      </c>
      <c r="O61">
        <v>147.4409</v>
      </c>
      <c r="P61">
        <v>146.40049999999999</v>
      </c>
      <c r="Q61">
        <v>146.80029999999999</v>
      </c>
      <c r="R61">
        <v>146.29920000000001</v>
      </c>
      <c r="S61">
        <v>146.78</v>
      </c>
      <c r="T61">
        <v>147.5521</v>
      </c>
      <c r="U61">
        <v>148.1651</v>
      </c>
      <c r="V61">
        <v>149.72540000000001</v>
      </c>
      <c r="W61">
        <v>149.45359999999999</v>
      </c>
      <c r="X61">
        <v>149.76419999999999</v>
      </c>
      <c r="Y61">
        <v>150.71899999999999</v>
      </c>
      <c r="Z61">
        <v>152.87540000000001</v>
      </c>
      <c r="AA61">
        <v>155.69059999999999</v>
      </c>
      <c r="AB61">
        <v>156.95400000000001</v>
      </c>
      <c r="AC61">
        <v>155.9419</v>
      </c>
      <c r="AD61">
        <v>156.62970000000001</v>
      </c>
      <c r="AE61">
        <v>157.7148</v>
      </c>
      <c r="AF61">
        <v>161.23779999999999</v>
      </c>
      <c r="AG61">
        <v>1.7770300000000001</v>
      </c>
      <c r="AH61">
        <v>0.22956779999999999</v>
      </c>
      <c r="AI61">
        <v>-1.305911</v>
      </c>
      <c r="AJ61">
        <v>-1.425586</v>
      </c>
      <c r="AK61">
        <v>0.81267599999999995</v>
      </c>
      <c r="AL61">
        <v>0.45039489999999999</v>
      </c>
      <c r="AM61">
        <v>-1.040891</v>
      </c>
      <c r="AN61">
        <v>-8.6336200000000002E-2</v>
      </c>
      <c r="AO61">
        <v>-0.64007409999999998</v>
      </c>
      <c r="AP61">
        <v>0.55647970000000002</v>
      </c>
      <c r="AQ61">
        <v>0.65345969999999998</v>
      </c>
      <c r="AR61">
        <v>1.178032</v>
      </c>
      <c r="AS61">
        <v>2.7977970000000001</v>
      </c>
      <c r="AT61">
        <v>3.552502</v>
      </c>
      <c r="AU61">
        <v>4.0406719999999998</v>
      </c>
      <c r="AV61">
        <v>3.1993299999999998</v>
      </c>
      <c r="AW61">
        <v>29.76661</v>
      </c>
      <c r="AX61">
        <v>107.2486</v>
      </c>
      <c r="AY61">
        <v>110.49039999999999</v>
      </c>
      <c r="AZ61">
        <v>84.131519999999995</v>
      </c>
      <c r="BA61">
        <v>60.120440000000002</v>
      </c>
      <c r="BB61">
        <v>53.075980000000001</v>
      </c>
      <c r="BC61">
        <v>48.973109999999998</v>
      </c>
      <c r="BD61">
        <v>48.497860000000003</v>
      </c>
      <c r="BE61">
        <v>2.8779059999999999</v>
      </c>
      <c r="BF61">
        <v>1.098292</v>
      </c>
      <c r="BG61">
        <v>-0.59873869999999996</v>
      </c>
      <c r="BH61">
        <v>-0.64798670000000003</v>
      </c>
      <c r="BI61">
        <v>1.4979720000000001</v>
      </c>
      <c r="BJ61">
        <v>1.078762</v>
      </c>
      <c r="BK61">
        <v>-0.34169359999999999</v>
      </c>
      <c r="BL61">
        <v>0.56531810000000005</v>
      </c>
      <c r="BM61">
        <v>1.47882E-2</v>
      </c>
      <c r="BN61">
        <v>1.27301</v>
      </c>
      <c r="BO61">
        <v>1.492213</v>
      </c>
      <c r="BP61">
        <v>2.0974900000000001</v>
      </c>
      <c r="BQ61">
        <v>3.8074810000000001</v>
      </c>
      <c r="BR61">
        <v>4.6685499999999998</v>
      </c>
      <c r="BS61">
        <v>5.1700650000000001</v>
      </c>
      <c r="BT61">
        <v>4.4385079999999997</v>
      </c>
      <c r="BU61">
        <v>31.189139999999998</v>
      </c>
      <c r="BV61">
        <v>109.137</v>
      </c>
      <c r="BW61">
        <v>112.4833</v>
      </c>
      <c r="BX61">
        <v>86.070750000000004</v>
      </c>
      <c r="BY61">
        <v>62.046489999999999</v>
      </c>
      <c r="BZ61">
        <v>54.985860000000002</v>
      </c>
      <c r="CA61">
        <v>50.951180000000001</v>
      </c>
      <c r="CB61">
        <v>50.612639999999999</v>
      </c>
      <c r="CC61">
        <v>3.6403690000000002</v>
      </c>
      <c r="CD61">
        <v>1.699967</v>
      </c>
      <c r="CE61">
        <v>-0.1089532</v>
      </c>
      <c r="CF61">
        <v>-0.1094239</v>
      </c>
      <c r="CG61">
        <v>1.972607</v>
      </c>
      <c r="CH61">
        <v>1.5139670000000001</v>
      </c>
      <c r="CI61">
        <v>0.14256869999999999</v>
      </c>
      <c r="CJ61">
        <v>1.0166519999999999</v>
      </c>
      <c r="CK61">
        <v>0.46834389999999998</v>
      </c>
      <c r="CL61">
        <v>1.7692760000000001</v>
      </c>
      <c r="CM61">
        <v>2.0731310000000001</v>
      </c>
      <c r="CN61">
        <v>2.7343039999999998</v>
      </c>
      <c r="CO61">
        <v>4.5067849999999998</v>
      </c>
      <c r="CP61">
        <v>5.441522</v>
      </c>
      <c r="CQ61">
        <v>5.95228</v>
      </c>
      <c r="CR61">
        <v>5.2967589999999998</v>
      </c>
      <c r="CS61">
        <v>32.174390000000002</v>
      </c>
      <c r="CT61">
        <v>110.4448</v>
      </c>
      <c r="CU61">
        <v>113.8635</v>
      </c>
      <c r="CV61">
        <v>87.413849999999996</v>
      </c>
      <c r="CW61">
        <v>63.380459999999999</v>
      </c>
      <c r="CX61">
        <v>56.308639999999997</v>
      </c>
      <c r="CY61">
        <v>52.321190000000001</v>
      </c>
      <c r="CZ61">
        <v>52.07734</v>
      </c>
      <c r="DA61">
        <v>4.4028320000000001</v>
      </c>
      <c r="DB61">
        <v>2.3016420000000002</v>
      </c>
      <c r="DC61">
        <v>0.38083240000000002</v>
      </c>
      <c r="DD61">
        <v>0.42913889999999999</v>
      </c>
      <c r="DE61">
        <v>2.447241</v>
      </c>
      <c r="DF61">
        <v>1.9491719999999999</v>
      </c>
      <c r="DG61">
        <v>0.62683100000000003</v>
      </c>
      <c r="DH61">
        <v>1.467986</v>
      </c>
      <c r="DI61">
        <v>0.92189960000000004</v>
      </c>
      <c r="DJ61">
        <v>2.2655430000000001</v>
      </c>
      <c r="DK61">
        <v>2.6540490000000001</v>
      </c>
      <c r="DL61">
        <v>3.3711190000000002</v>
      </c>
      <c r="DM61">
        <v>5.2060899999999997</v>
      </c>
      <c r="DN61">
        <v>6.2144940000000002</v>
      </c>
      <c r="DO61">
        <v>6.7344949999999999</v>
      </c>
      <c r="DP61">
        <v>6.1550099999999999</v>
      </c>
      <c r="DQ61">
        <v>33.15963</v>
      </c>
      <c r="DR61">
        <v>111.7526</v>
      </c>
      <c r="DS61">
        <v>115.2437</v>
      </c>
      <c r="DT61">
        <v>88.756950000000003</v>
      </c>
      <c r="DU61">
        <v>64.714429999999993</v>
      </c>
      <c r="DV61">
        <v>57.631419999999999</v>
      </c>
      <c r="DW61">
        <v>53.691200000000002</v>
      </c>
      <c r="DX61">
        <v>53.542029999999997</v>
      </c>
      <c r="DY61">
        <v>5.5037079999999996</v>
      </c>
      <c r="DZ61">
        <v>3.170366</v>
      </c>
      <c r="EA61">
        <v>1.0880050000000001</v>
      </c>
      <c r="EB61">
        <v>1.2067380000000001</v>
      </c>
      <c r="EC61">
        <v>3.1325370000000001</v>
      </c>
      <c r="ED61">
        <v>2.5775399999999999</v>
      </c>
      <c r="EE61">
        <v>1.3260289999999999</v>
      </c>
      <c r="EF61">
        <v>2.11964</v>
      </c>
      <c r="EG61">
        <v>1.576762</v>
      </c>
      <c r="EH61">
        <v>2.9820730000000002</v>
      </c>
      <c r="EI61">
        <v>3.4928020000000002</v>
      </c>
      <c r="EJ61">
        <v>4.2905769999999999</v>
      </c>
      <c r="EK61">
        <v>6.2157739999999997</v>
      </c>
      <c r="EL61">
        <v>7.3305420000000003</v>
      </c>
      <c r="EM61">
        <v>7.8638880000000002</v>
      </c>
      <c r="EN61">
        <v>7.3941879999999998</v>
      </c>
      <c r="EO61">
        <v>34.582160000000002</v>
      </c>
      <c r="EP61">
        <v>113.6409</v>
      </c>
      <c r="EQ61">
        <v>117.23650000000001</v>
      </c>
      <c r="ER61">
        <v>90.696169999999995</v>
      </c>
      <c r="ES61">
        <v>66.640479999999997</v>
      </c>
      <c r="ET61">
        <v>59.541289999999996</v>
      </c>
      <c r="EU61">
        <v>55.669280000000001</v>
      </c>
      <c r="EV61">
        <v>55.65681</v>
      </c>
      <c r="EW61">
        <v>60.351799999999997</v>
      </c>
      <c r="EX61">
        <v>59.145110000000003</v>
      </c>
      <c r="EY61">
        <v>58.310409999999997</v>
      </c>
      <c r="EZ61">
        <v>57.063420000000001</v>
      </c>
      <c r="FA61">
        <v>56.151350000000001</v>
      </c>
      <c r="FB61">
        <v>55.161160000000002</v>
      </c>
      <c r="FC61">
        <v>54.479309999999998</v>
      </c>
      <c r="FD61">
        <v>55.95579</v>
      </c>
      <c r="FE61">
        <v>63.180970000000002</v>
      </c>
      <c r="FF61">
        <v>69.632580000000004</v>
      </c>
      <c r="FG61">
        <v>74.141559999999998</v>
      </c>
      <c r="FH61">
        <v>77.331819999999993</v>
      </c>
      <c r="FI61">
        <v>79.636049999999997</v>
      </c>
      <c r="FJ61">
        <v>81.939250000000001</v>
      </c>
      <c r="FK61">
        <v>83.495859999999993</v>
      </c>
      <c r="FL61">
        <v>84.336190000000002</v>
      </c>
      <c r="FM61">
        <v>84.39873</v>
      </c>
      <c r="FN61">
        <v>83.262429999999995</v>
      </c>
      <c r="FO61">
        <v>78.444500000000005</v>
      </c>
      <c r="FP61">
        <v>73.987210000000005</v>
      </c>
      <c r="FQ61">
        <v>69.624700000000004</v>
      </c>
      <c r="FR61">
        <v>67.292190000000005</v>
      </c>
      <c r="FS61">
        <v>65.172659999999993</v>
      </c>
      <c r="FT61">
        <v>63.4846</v>
      </c>
      <c r="FU61">
        <v>1.9149</v>
      </c>
      <c r="FV61" s="24">
        <v>2.3667250000000002</v>
      </c>
      <c r="FW61">
        <v>0.12151389999999999</v>
      </c>
      <c r="FX61">
        <v>1</v>
      </c>
    </row>
    <row r="62" spans="1:180" x14ac:dyDescent="0.4">
      <c r="A62" t="s">
        <v>1</v>
      </c>
      <c r="B62" t="s">
        <v>194</v>
      </c>
      <c r="C62" t="s">
        <v>1</v>
      </c>
      <c r="D62" t="s">
        <v>1</v>
      </c>
      <c r="E62" s="36">
        <v>43807</v>
      </c>
      <c r="F62">
        <v>3</v>
      </c>
      <c r="G62" s="41">
        <v>3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  <c r="AU62">
        <v>0</v>
      </c>
      <c r="AV62">
        <v>0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0</v>
      </c>
      <c r="DG62">
        <v>0</v>
      </c>
      <c r="DH62">
        <v>0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0</v>
      </c>
      <c r="EQ62">
        <v>0</v>
      </c>
      <c r="ER62">
        <v>0</v>
      </c>
      <c r="ES62">
        <v>0</v>
      </c>
      <c r="ET62">
        <v>0</v>
      </c>
      <c r="EU62">
        <v>0</v>
      </c>
      <c r="EV62">
        <v>0</v>
      </c>
      <c r="EW62">
        <v>55.261650000000003</v>
      </c>
      <c r="EX62">
        <v>54.869639999999997</v>
      </c>
      <c r="EY62">
        <v>54.586660000000002</v>
      </c>
      <c r="EZ62">
        <v>54.352969999999999</v>
      </c>
      <c r="FA62">
        <v>54.679639999999999</v>
      </c>
      <c r="FB62">
        <v>53.837409999999998</v>
      </c>
      <c r="FC62">
        <v>53.762749999999997</v>
      </c>
      <c r="FD62">
        <v>53.526449999999997</v>
      </c>
      <c r="FE62">
        <v>54.509300000000003</v>
      </c>
      <c r="FF62">
        <v>55.813409999999998</v>
      </c>
      <c r="FG62">
        <v>57.50582</v>
      </c>
      <c r="FH62">
        <v>58.505719999999997</v>
      </c>
      <c r="FI62">
        <v>57.088169999999998</v>
      </c>
      <c r="FJ62">
        <v>59.382350000000002</v>
      </c>
      <c r="FK62">
        <v>59.508400000000002</v>
      </c>
      <c r="FL62">
        <v>58.940829999999998</v>
      </c>
      <c r="FM62">
        <v>57.102699999999999</v>
      </c>
      <c r="FN62">
        <v>56.772660000000002</v>
      </c>
      <c r="FO62">
        <v>54.380859999999998</v>
      </c>
      <c r="FP62">
        <v>52.521070000000002</v>
      </c>
      <c r="FQ62">
        <v>51.297699999999999</v>
      </c>
      <c r="FR62">
        <v>50.279710000000001</v>
      </c>
      <c r="FS62">
        <v>49.776809999999998</v>
      </c>
      <c r="FT62">
        <v>49.25168</v>
      </c>
      <c r="FU62">
        <v>0</v>
      </c>
      <c r="FV62" s="24">
        <v>0</v>
      </c>
      <c r="FW62">
        <v>0.43280990000000003</v>
      </c>
      <c r="FX62">
        <v>0</v>
      </c>
    </row>
    <row r="63" spans="1:180" x14ac:dyDescent="0.4">
      <c r="A63" t="s">
        <v>1</v>
      </c>
      <c r="B63" t="s">
        <v>194</v>
      </c>
      <c r="C63" t="s">
        <v>1</v>
      </c>
      <c r="D63" t="s">
        <v>1</v>
      </c>
      <c r="E63" s="36">
        <v>43519</v>
      </c>
      <c r="F63">
        <v>0</v>
      </c>
      <c r="G63" s="41">
        <v>17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0</v>
      </c>
      <c r="AW63">
        <v>0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0</v>
      </c>
      <c r="DD63">
        <v>0</v>
      </c>
      <c r="DE63">
        <v>0</v>
      </c>
      <c r="DF63">
        <v>0</v>
      </c>
      <c r="DG63">
        <v>0</v>
      </c>
      <c r="DH63">
        <v>0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0</v>
      </c>
      <c r="EM63">
        <v>0</v>
      </c>
      <c r="EN63">
        <v>0</v>
      </c>
      <c r="EO63">
        <v>0</v>
      </c>
      <c r="EP63">
        <v>0</v>
      </c>
      <c r="EQ63">
        <v>0</v>
      </c>
      <c r="ER63">
        <v>0</v>
      </c>
      <c r="ES63">
        <v>0</v>
      </c>
      <c r="ET63">
        <v>0</v>
      </c>
      <c r="EU63">
        <v>0</v>
      </c>
      <c r="EV63">
        <v>0</v>
      </c>
      <c r="EW63">
        <v>0</v>
      </c>
      <c r="EX63">
        <v>0</v>
      </c>
      <c r="EY63">
        <v>0</v>
      </c>
      <c r="EZ63">
        <v>0</v>
      </c>
      <c r="FA63">
        <v>0</v>
      </c>
      <c r="FB63">
        <v>0</v>
      </c>
      <c r="FC63">
        <v>0</v>
      </c>
      <c r="FD63">
        <v>0</v>
      </c>
      <c r="FE63">
        <v>0</v>
      </c>
      <c r="FF63">
        <v>0</v>
      </c>
      <c r="FG63">
        <v>0</v>
      </c>
      <c r="FH63">
        <v>0</v>
      </c>
      <c r="FI63">
        <v>0</v>
      </c>
      <c r="FJ63">
        <v>0</v>
      </c>
      <c r="FK63">
        <v>0</v>
      </c>
      <c r="FL63">
        <v>0</v>
      </c>
      <c r="FM63">
        <v>0</v>
      </c>
      <c r="FN63">
        <v>0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 s="24">
        <v>0</v>
      </c>
      <c r="FW63">
        <v>0</v>
      </c>
      <c r="FX63">
        <v>0</v>
      </c>
    </row>
    <row r="64" spans="1:180" x14ac:dyDescent="0.4">
      <c r="A64" t="s">
        <v>1</v>
      </c>
      <c r="B64" t="s">
        <v>194</v>
      </c>
      <c r="C64" t="s">
        <v>1</v>
      </c>
      <c r="D64" t="s">
        <v>1</v>
      </c>
      <c r="E64" s="36">
        <v>43622</v>
      </c>
      <c r="F64">
        <v>2</v>
      </c>
      <c r="G64" s="41">
        <v>19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0</v>
      </c>
      <c r="EQ64">
        <v>0</v>
      </c>
      <c r="ER64">
        <v>0</v>
      </c>
      <c r="ES64">
        <v>0</v>
      </c>
      <c r="ET64">
        <v>0</v>
      </c>
      <c r="EU64">
        <v>0</v>
      </c>
      <c r="EV64">
        <v>0</v>
      </c>
      <c r="EW64">
        <v>68.370919999999998</v>
      </c>
      <c r="EX64">
        <v>67.284549999999996</v>
      </c>
      <c r="EY64">
        <v>66.22936</v>
      </c>
      <c r="EZ64">
        <v>65.309960000000004</v>
      </c>
      <c r="FA64">
        <v>64.162980000000005</v>
      </c>
      <c r="FB64">
        <v>62.632770000000001</v>
      </c>
      <c r="FC64">
        <v>63.596220000000002</v>
      </c>
      <c r="FD64">
        <v>65.108800000000002</v>
      </c>
      <c r="FE64">
        <v>69.165480000000002</v>
      </c>
      <c r="FF64">
        <v>72.096029999999999</v>
      </c>
      <c r="FG64">
        <v>75.549139999999994</v>
      </c>
      <c r="FH64">
        <v>80.571659999999994</v>
      </c>
      <c r="FI64">
        <v>82.554389999999998</v>
      </c>
      <c r="FJ64">
        <v>83.843369999999993</v>
      </c>
      <c r="FK64">
        <v>83.214609999999993</v>
      </c>
      <c r="FL64">
        <v>82.435169999999999</v>
      </c>
      <c r="FM64">
        <v>83.100629999999995</v>
      </c>
      <c r="FN64">
        <v>81.36909</v>
      </c>
      <c r="FO64">
        <v>78.361360000000005</v>
      </c>
      <c r="FP64">
        <v>74.236620000000002</v>
      </c>
      <c r="FQ64">
        <v>69.493889999999993</v>
      </c>
      <c r="FR64">
        <v>66.207260000000005</v>
      </c>
      <c r="FS64">
        <v>64.165980000000005</v>
      </c>
      <c r="FT64">
        <v>62.16771</v>
      </c>
      <c r="FU64">
        <v>0</v>
      </c>
      <c r="FV64" s="24">
        <v>0</v>
      </c>
      <c r="FW64">
        <v>0.51155189999999995</v>
      </c>
      <c r="FX64">
        <v>0</v>
      </c>
    </row>
    <row r="65" spans="1:180" x14ac:dyDescent="0.4">
      <c r="A65" t="s">
        <v>1</v>
      </c>
      <c r="B65" t="s">
        <v>194</v>
      </c>
      <c r="C65" t="s">
        <v>1</v>
      </c>
      <c r="D65" t="s">
        <v>1</v>
      </c>
      <c r="E65" s="36">
        <v>43536</v>
      </c>
      <c r="F65">
        <v>17</v>
      </c>
      <c r="G65" s="41">
        <v>17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  <c r="AU65">
        <v>0</v>
      </c>
      <c r="AV65">
        <v>0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0</v>
      </c>
      <c r="DH65">
        <v>0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0</v>
      </c>
      <c r="EQ65">
        <v>0</v>
      </c>
      <c r="ER65">
        <v>0</v>
      </c>
      <c r="ES65">
        <v>0</v>
      </c>
      <c r="ET65">
        <v>0</v>
      </c>
      <c r="EU65">
        <v>0</v>
      </c>
      <c r="EV65">
        <v>0</v>
      </c>
      <c r="EW65">
        <v>52.789830000000002</v>
      </c>
      <c r="EX65">
        <v>51.134720000000002</v>
      </c>
      <c r="EY65">
        <v>49.382530000000003</v>
      </c>
      <c r="EZ65">
        <v>48.466160000000002</v>
      </c>
      <c r="FA65">
        <v>46.507779999999997</v>
      </c>
      <c r="FB65">
        <v>44.51482</v>
      </c>
      <c r="FC65">
        <v>42.1997</v>
      </c>
      <c r="FD65">
        <v>41.88232</v>
      </c>
      <c r="FE65">
        <v>46.817010000000003</v>
      </c>
      <c r="FF65">
        <v>51.481529999999999</v>
      </c>
      <c r="FG65">
        <v>54.597239999999999</v>
      </c>
      <c r="FH65">
        <v>57.122590000000002</v>
      </c>
      <c r="FI65">
        <v>60.352350000000001</v>
      </c>
      <c r="FJ65">
        <v>62.471679999999999</v>
      </c>
      <c r="FK65">
        <v>63.356850000000001</v>
      </c>
      <c r="FL65">
        <v>63.052489999999999</v>
      </c>
      <c r="FM65">
        <v>62.848999999999997</v>
      </c>
      <c r="FN65">
        <v>62.653300000000002</v>
      </c>
      <c r="FO65">
        <v>61.177419999999998</v>
      </c>
      <c r="FP65">
        <v>58.262099999999997</v>
      </c>
      <c r="FQ65">
        <v>56.301499999999997</v>
      </c>
      <c r="FR65">
        <v>54.167050000000003</v>
      </c>
      <c r="FS65">
        <v>52.1556</v>
      </c>
      <c r="FT65">
        <v>50.400030000000001</v>
      </c>
      <c r="FU65">
        <v>0</v>
      </c>
      <c r="FV65" s="24">
        <v>0</v>
      </c>
      <c r="FW65">
        <v>0.20916299999999999</v>
      </c>
      <c r="FX65">
        <v>0</v>
      </c>
    </row>
    <row r="66" spans="1:180" x14ac:dyDescent="0.4">
      <c r="A66" t="s">
        <v>1</v>
      </c>
      <c r="B66" t="s">
        <v>194</v>
      </c>
      <c r="C66" t="s">
        <v>1</v>
      </c>
      <c r="D66" t="s">
        <v>1</v>
      </c>
      <c r="E66" s="36">
        <v>43744</v>
      </c>
      <c r="F66">
        <v>23</v>
      </c>
      <c r="G66" s="41">
        <v>23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0</v>
      </c>
      <c r="DG66">
        <v>0</v>
      </c>
      <c r="DH66">
        <v>0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0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0</v>
      </c>
      <c r="ES66">
        <v>0</v>
      </c>
      <c r="ET66">
        <v>0</v>
      </c>
      <c r="EU66">
        <v>0</v>
      </c>
      <c r="EV66">
        <v>0</v>
      </c>
      <c r="EW66">
        <v>57.455010000000001</v>
      </c>
      <c r="EX66">
        <v>57.517600000000002</v>
      </c>
      <c r="EY66">
        <v>56.404589999999999</v>
      </c>
      <c r="EZ66">
        <v>55.366280000000003</v>
      </c>
      <c r="FA66">
        <v>54.224769999999999</v>
      </c>
      <c r="FB66">
        <v>53.947600000000001</v>
      </c>
      <c r="FC66">
        <v>53.864759999999997</v>
      </c>
      <c r="FD66">
        <v>55.09187</v>
      </c>
      <c r="FE66">
        <v>60.693750000000001</v>
      </c>
      <c r="FF66">
        <v>66.440399999999997</v>
      </c>
      <c r="FG66">
        <v>70.857669999999999</v>
      </c>
      <c r="FH66">
        <v>74.005359999999996</v>
      </c>
      <c r="FI66">
        <v>77.151920000000004</v>
      </c>
      <c r="FJ66">
        <v>80.005039999999994</v>
      </c>
      <c r="FK66">
        <v>81.983900000000006</v>
      </c>
      <c r="FL66">
        <v>83.847210000000004</v>
      </c>
      <c r="FM66">
        <v>83.95729</v>
      </c>
      <c r="FN66">
        <v>83.637050000000002</v>
      </c>
      <c r="FO66">
        <v>79.994050000000001</v>
      </c>
      <c r="FP66">
        <v>75.453400000000002</v>
      </c>
      <c r="FQ66">
        <v>71.521389999999997</v>
      </c>
      <c r="FR66">
        <v>67.678790000000006</v>
      </c>
      <c r="FS66">
        <v>65.062600000000003</v>
      </c>
      <c r="FT66">
        <v>63.85228</v>
      </c>
      <c r="FU66">
        <v>0</v>
      </c>
      <c r="FV66" s="24">
        <v>0</v>
      </c>
      <c r="FW66">
        <v>0.44889020000000002</v>
      </c>
      <c r="FX66">
        <v>0</v>
      </c>
    </row>
    <row r="67" spans="1:180" x14ac:dyDescent="0.4">
      <c r="A67" t="s">
        <v>1</v>
      </c>
      <c r="B67" t="s">
        <v>194</v>
      </c>
      <c r="C67" t="s">
        <v>1</v>
      </c>
      <c r="D67" t="s">
        <v>1</v>
      </c>
      <c r="E67" s="36" t="s">
        <v>2</v>
      </c>
      <c r="F67">
        <v>23</v>
      </c>
      <c r="G67" s="41">
        <v>23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0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0</v>
      </c>
      <c r="EQ67">
        <v>0</v>
      </c>
      <c r="ER67">
        <v>0</v>
      </c>
      <c r="ES67">
        <v>0</v>
      </c>
      <c r="ET67">
        <v>0</v>
      </c>
      <c r="EU67">
        <v>0</v>
      </c>
      <c r="EV67">
        <v>0</v>
      </c>
      <c r="EW67">
        <v>57.455010000000001</v>
      </c>
      <c r="EX67">
        <v>57.517600000000002</v>
      </c>
      <c r="EY67">
        <v>56.404589999999999</v>
      </c>
      <c r="EZ67">
        <v>55.366280000000003</v>
      </c>
      <c r="FA67">
        <v>54.224769999999999</v>
      </c>
      <c r="FB67">
        <v>53.947600000000001</v>
      </c>
      <c r="FC67">
        <v>53.864759999999997</v>
      </c>
      <c r="FD67">
        <v>55.09187</v>
      </c>
      <c r="FE67">
        <v>60.693750000000001</v>
      </c>
      <c r="FF67">
        <v>66.440399999999997</v>
      </c>
      <c r="FG67">
        <v>70.857669999999999</v>
      </c>
      <c r="FH67">
        <v>74.005359999999996</v>
      </c>
      <c r="FI67">
        <v>77.151920000000004</v>
      </c>
      <c r="FJ67">
        <v>80.005039999999994</v>
      </c>
      <c r="FK67">
        <v>81.983900000000006</v>
      </c>
      <c r="FL67">
        <v>83.847210000000004</v>
      </c>
      <c r="FM67">
        <v>83.95729</v>
      </c>
      <c r="FN67">
        <v>83.637050000000002</v>
      </c>
      <c r="FO67">
        <v>79.994050000000001</v>
      </c>
      <c r="FP67">
        <v>75.453400000000002</v>
      </c>
      <c r="FQ67">
        <v>71.521389999999997</v>
      </c>
      <c r="FR67">
        <v>67.678790000000006</v>
      </c>
      <c r="FS67">
        <v>65.062600000000003</v>
      </c>
      <c r="FT67">
        <v>63.85228</v>
      </c>
      <c r="FU67">
        <v>0</v>
      </c>
      <c r="FV67" s="24">
        <v>0</v>
      </c>
      <c r="FW67">
        <v>0.44889020000000002</v>
      </c>
      <c r="FX67">
        <v>0</v>
      </c>
    </row>
    <row r="68" spans="1:180" x14ac:dyDescent="0.4">
      <c r="A68" t="s">
        <v>1</v>
      </c>
      <c r="B68" t="s">
        <v>195</v>
      </c>
      <c r="C68" t="s">
        <v>1</v>
      </c>
      <c r="D68" t="s">
        <v>1</v>
      </c>
      <c r="E68" s="36">
        <v>43807</v>
      </c>
      <c r="F68">
        <v>7</v>
      </c>
      <c r="G68" s="41">
        <v>7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  <c r="AU68">
        <v>0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0</v>
      </c>
      <c r="DD68">
        <v>0</v>
      </c>
      <c r="DE68">
        <v>0</v>
      </c>
      <c r="DF68">
        <v>0</v>
      </c>
      <c r="DG68">
        <v>0</v>
      </c>
      <c r="DH68">
        <v>0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0</v>
      </c>
      <c r="EM68">
        <v>0</v>
      </c>
      <c r="EN68">
        <v>0</v>
      </c>
      <c r="EO68">
        <v>0</v>
      </c>
      <c r="EP68">
        <v>0</v>
      </c>
      <c r="EQ68">
        <v>0</v>
      </c>
      <c r="ER68">
        <v>0</v>
      </c>
      <c r="ES68">
        <v>0</v>
      </c>
      <c r="ET68">
        <v>0</v>
      </c>
      <c r="EU68">
        <v>0</v>
      </c>
      <c r="EV68">
        <v>0</v>
      </c>
      <c r="EW68">
        <v>54.998750000000001</v>
      </c>
      <c r="EX68">
        <v>54.998730000000002</v>
      </c>
      <c r="EY68">
        <v>54.998519999999999</v>
      </c>
      <c r="EZ68">
        <v>53.998539999999998</v>
      </c>
      <c r="FA68">
        <v>53.998719999999999</v>
      </c>
      <c r="FB68">
        <v>53.998550000000002</v>
      </c>
      <c r="FC68">
        <v>52.998800000000003</v>
      </c>
      <c r="FD68">
        <v>53.998420000000003</v>
      </c>
      <c r="FE68">
        <v>54.99812</v>
      </c>
      <c r="FF68">
        <v>55.998350000000002</v>
      </c>
      <c r="FG68">
        <v>57.998559999999998</v>
      </c>
      <c r="FH68">
        <v>56.999499999999998</v>
      </c>
      <c r="FI68">
        <v>56.998220000000003</v>
      </c>
      <c r="FJ68">
        <v>57.997689999999999</v>
      </c>
      <c r="FK68">
        <v>59.997689999999999</v>
      </c>
      <c r="FL68">
        <v>59.997430000000001</v>
      </c>
      <c r="FM68">
        <v>58.997750000000003</v>
      </c>
      <c r="FN68">
        <v>56.995660000000001</v>
      </c>
      <c r="FO68">
        <v>55.771940000000001</v>
      </c>
      <c r="FP68">
        <v>54.301839999999999</v>
      </c>
      <c r="FQ68">
        <v>53.163820000000001</v>
      </c>
      <c r="FR68">
        <v>53.066130000000001</v>
      </c>
      <c r="FS68">
        <v>51.35098</v>
      </c>
      <c r="FT68">
        <v>49.412430000000001</v>
      </c>
      <c r="FU68">
        <v>0</v>
      </c>
      <c r="FV68" s="24">
        <v>0</v>
      </c>
      <c r="FW68">
        <v>0.7190706</v>
      </c>
      <c r="FX68">
        <v>0</v>
      </c>
    </row>
    <row r="69" spans="1:180" x14ac:dyDescent="0.4">
      <c r="A69" t="s">
        <v>1</v>
      </c>
      <c r="B69" t="s">
        <v>195</v>
      </c>
      <c r="C69" t="s">
        <v>1</v>
      </c>
      <c r="D69" t="s">
        <v>1</v>
      </c>
      <c r="E69" s="36">
        <v>43519</v>
      </c>
      <c r="F69">
        <v>0</v>
      </c>
      <c r="G69" s="41">
        <v>15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 s="24">
        <v>0</v>
      </c>
      <c r="FW69">
        <v>0</v>
      </c>
      <c r="FX69">
        <v>0</v>
      </c>
    </row>
    <row r="70" spans="1:180" x14ac:dyDescent="0.4">
      <c r="A70" t="s">
        <v>1</v>
      </c>
      <c r="B70" t="s">
        <v>195</v>
      </c>
      <c r="C70" t="s">
        <v>1</v>
      </c>
      <c r="D70" t="s">
        <v>1</v>
      </c>
      <c r="E70" s="36">
        <v>43622</v>
      </c>
      <c r="F70">
        <v>2</v>
      </c>
      <c r="G70" s="41">
        <v>18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  <c r="AU70">
        <v>0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71</v>
      </c>
      <c r="EX70">
        <v>69</v>
      </c>
      <c r="EY70">
        <v>67</v>
      </c>
      <c r="EZ70">
        <v>66</v>
      </c>
      <c r="FA70">
        <v>65</v>
      </c>
      <c r="FB70">
        <v>64</v>
      </c>
      <c r="FC70">
        <v>65</v>
      </c>
      <c r="FD70">
        <v>67</v>
      </c>
      <c r="FE70">
        <v>71</v>
      </c>
      <c r="FF70">
        <v>74</v>
      </c>
      <c r="FG70">
        <v>78</v>
      </c>
      <c r="FH70">
        <v>81</v>
      </c>
      <c r="FI70">
        <v>82</v>
      </c>
      <c r="FJ70">
        <v>82</v>
      </c>
      <c r="FK70">
        <v>81</v>
      </c>
      <c r="FL70">
        <v>80</v>
      </c>
      <c r="FM70">
        <v>79</v>
      </c>
      <c r="FN70">
        <v>76</v>
      </c>
      <c r="FO70">
        <v>73</v>
      </c>
      <c r="FP70">
        <v>69</v>
      </c>
      <c r="FQ70">
        <v>65</v>
      </c>
      <c r="FR70">
        <v>62</v>
      </c>
      <c r="FS70">
        <v>60</v>
      </c>
      <c r="FT70">
        <v>59</v>
      </c>
      <c r="FU70">
        <v>0</v>
      </c>
      <c r="FV70" s="24">
        <v>0</v>
      </c>
      <c r="FW70">
        <v>0.70186820000000005</v>
      </c>
      <c r="FX70">
        <v>0</v>
      </c>
    </row>
    <row r="71" spans="1:180" x14ac:dyDescent="0.4">
      <c r="A71" t="s">
        <v>1</v>
      </c>
      <c r="B71" t="s">
        <v>195</v>
      </c>
      <c r="C71" t="s">
        <v>1</v>
      </c>
      <c r="D71" t="s">
        <v>1</v>
      </c>
      <c r="E71" s="36">
        <v>43536</v>
      </c>
      <c r="F71">
        <v>15</v>
      </c>
      <c r="G71" s="41">
        <v>15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0</v>
      </c>
      <c r="ES71">
        <v>0</v>
      </c>
      <c r="ET71">
        <v>0</v>
      </c>
      <c r="EU71">
        <v>0</v>
      </c>
      <c r="EV71">
        <v>0</v>
      </c>
      <c r="EW71">
        <v>50.97213</v>
      </c>
      <c r="EX71">
        <v>51.962049999999998</v>
      </c>
      <c r="EY71">
        <v>51.964289999999998</v>
      </c>
      <c r="EZ71">
        <v>48.967869999999998</v>
      </c>
      <c r="FA71">
        <v>47.968629999999997</v>
      </c>
      <c r="FB71">
        <v>47.97654</v>
      </c>
      <c r="FC71">
        <v>46.964660000000002</v>
      </c>
      <c r="FD71">
        <v>44.920070000000003</v>
      </c>
      <c r="FE71">
        <v>51.971179999999997</v>
      </c>
      <c r="FF71">
        <v>54.951720000000002</v>
      </c>
      <c r="FG71">
        <v>57.955680000000001</v>
      </c>
      <c r="FH71">
        <v>62.49353</v>
      </c>
      <c r="FI71">
        <v>62.406649999999999</v>
      </c>
      <c r="FJ71">
        <v>63.41377</v>
      </c>
      <c r="FK71">
        <v>64.274349999999998</v>
      </c>
      <c r="FL71">
        <v>62.861429999999999</v>
      </c>
      <c r="FM71">
        <v>61.992220000000003</v>
      </c>
      <c r="FN71">
        <v>61.986020000000003</v>
      </c>
      <c r="FO71">
        <v>60.989849999999997</v>
      </c>
      <c r="FP71">
        <v>57.969299999999997</v>
      </c>
      <c r="FQ71">
        <v>55.974910000000001</v>
      </c>
      <c r="FR71">
        <v>53.979030000000002</v>
      </c>
      <c r="FS71">
        <v>51.978470000000002</v>
      </c>
      <c r="FT71">
        <v>50.969189999999998</v>
      </c>
      <c r="FU71">
        <v>0</v>
      </c>
      <c r="FV71" s="24">
        <v>0</v>
      </c>
      <c r="FW71">
        <v>0.26811160000000001</v>
      </c>
      <c r="FX71">
        <v>0</v>
      </c>
    </row>
    <row r="72" spans="1:180" x14ac:dyDescent="0.4">
      <c r="A72" t="s">
        <v>1</v>
      </c>
      <c r="B72" t="s">
        <v>195</v>
      </c>
      <c r="C72" t="s">
        <v>1</v>
      </c>
      <c r="D72" t="s">
        <v>1</v>
      </c>
      <c r="E72" s="36">
        <v>43744</v>
      </c>
      <c r="F72">
        <v>21</v>
      </c>
      <c r="G72" s="41">
        <v>21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0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61.991169999999997</v>
      </c>
      <c r="EX72">
        <v>59.991050000000001</v>
      </c>
      <c r="EY72">
        <v>58.990639999999999</v>
      </c>
      <c r="EZ72">
        <v>56.99624</v>
      </c>
      <c r="FA72">
        <v>55.997889999999998</v>
      </c>
      <c r="FB72">
        <v>55.994529999999997</v>
      </c>
      <c r="FC72">
        <v>54.016579999999998</v>
      </c>
      <c r="FD72">
        <v>55.967359999999999</v>
      </c>
      <c r="FE72">
        <v>60.031399999999998</v>
      </c>
      <c r="FF72">
        <v>65.141149999999996</v>
      </c>
      <c r="FG72">
        <v>71.103210000000004</v>
      </c>
      <c r="FH72">
        <v>75.101089999999999</v>
      </c>
      <c r="FI72">
        <v>79.072559999999996</v>
      </c>
      <c r="FJ72">
        <v>81.065989999999999</v>
      </c>
      <c r="FK72">
        <v>84.06044</v>
      </c>
      <c r="FL72">
        <v>85</v>
      </c>
      <c r="FM72">
        <v>85.968419999999995</v>
      </c>
      <c r="FN72">
        <v>84.957149999999999</v>
      </c>
      <c r="FO72">
        <v>80.989850000000004</v>
      </c>
      <c r="FP72">
        <v>76.877750000000006</v>
      </c>
      <c r="FQ72">
        <v>73.398600000000002</v>
      </c>
      <c r="FR72">
        <v>70.448430000000002</v>
      </c>
      <c r="FS72">
        <v>68.698639999999997</v>
      </c>
      <c r="FT72">
        <v>66.565190000000001</v>
      </c>
      <c r="FU72">
        <v>0</v>
      </c>
      <c r="FV72" s="24">
        <v>0</v>
      </c>
      <c r="FW72">
        <v>0.33122030000000002</v>
      </c>
      <c r="FX72">
        <v>0</v>
      </c>
    </row>
    <row r="73" spans="1:180" x14ac:dyDescent="0.4">
      <c r="A73" t="s">
        <v>1</v>
      </c>
      <c r="B73" t="s">
        <v>195</v>
      </c>
      <c r="C73" t="s">
        <v>1</v>
      </c>
      <c r="D73" t="s">
        <v>1</v>
      </c>
      <c r="E73" s="36" t="s">
        <v>2</v>
      </c>
      <c r="F73">
        <v>21</v>
      </c>
      <c r="G73" s="41">
        <v>21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61.991169999999997</v>
      </c>
      <c r="EX73">
        <v>59.991050000000001</v>
      </c>
      <c r="EY73">
        <v>58.990639999999999</v>
      </c>
      <c r="EZ73">
        <v>56.99624</v>
      </c>
      <c r="FA73">
        <v>55.997889999999998</v>
      </c>
      <c r="FB73">
        <v>55.994529999999997</v>
      </c>
      <c r="FC73">
        <v>54.016579999999998</v>
      </c>
      <c r="FD73">
        <v>55.967359999999999</v>
      </c>
      <c r="FE73">
        <v>60.031399999999998</v>
      </c>
      <c r="FF73">
        <v>65.141149999999996</v>
      </c>
      <c r="FG73">
        <v>71.103210000000004</v>
      </c>
      <c r="FH73">
        <v>75.101089999999999</v>
      </c>
      <c r="FI73">
        <v>79.072559999999996</v>
      </c>
      <c r="FJ73">
        <v>81.065989999999999</v>
      </c>
      <c r="FK73">
        <v>84.06044</v>
      </c>
      <c r="FL73">
        <v>85</v>
      </c>
      <c r="FM73">
        <v>85.968419999999995</v>
      </c>
      <c r="FN73">
        <v>84.957149999999999</v>
      </c>
      <c r="FO73">
        <v>80.989850000000004</v>
      </c>
      <c r="FP73">
        <v>76.877750000000006</v>
      </c>
      <c r="FQ73">
        <v>73.398600000000002</v>
      </c>
      <c r="FR73">
        <v>70.448430000000002</v>
      </c>
      <c r="FS73">
        <v>68.698639999999997</v>
      </c>
      <c r="FT73">
        <v>66.565190000000001</v>
      </c>
      <c r="FU73">
        <v>0</v>
      </c>
      <c r="FV73" s="24">
        <v>0</v>
      </c>
      <c r="FW73">
        <v>0.33122030000000002</v>
      </c>
      <c r="FX73">
        <v>0</v>
      </c>
    </row>
    <row r="74" spans="1:180" x14ac:dyDescent="0.4">
      <c r="E74" s="36"/>
      <c r="G74" s="41"/>
      <c r="FV74" s="24"/>
    </row>
    <row r="75" spans="1:180" x14ac:dyDescent="0.4">
      <c r="E75" s="36"/>
      <c r="G75" s="41"/>
      <c r="FV75" s="24"/>
    </row>
    <row r="76" spans="1:180" x14ac:dyDescent="0.4">
      <c r="E76" s="36"/>
      <c r="G76" s="41"/>
      <c r="FV76" s="24"/>
    </row>
    <row r="77" spans="1:180" x14ac:dyDescent="0.4">
      <c r="E77" s="36"/>
      <c r="G77" s="41"/>
      <c r="FV77" s="24"/>
    </row>
    <row r="78" spans="1:180" x14ac:dyDescent="0.4">
      <c r="E78" s="36"/>
      <c r="G78" s="41"/>
      <c r="FV78" s="24"/>
    </row>
    <row r="79" spans="1:180" x14ac:dyDescent="0.4">
      <c r="E79" s="36"/>
      <c r="G79" s="41"/>
      <c r="FV79" s="24"/>
    </row>
    <row r="80" spans="1:180" x14ac:dyDescent="0.4">
      <c r="G80" s="36"/>
      <c r="FV80" s="24"/>
    </row>
    <row r="81" spans="7:178" x14ac:dyDescent="0.4">
      <c r="G81" s="36"/>
      <c r="FV81" s="24"/>
    </row>
    <row r="82" spans="7:178" x14ac:dyDescent="0.4">
      <c r="G82" s="36"/>
      <c r="FV82" s="24"/>
    </row>
    <row r="83" spans="7:178" x14ac:dyDescent="0.4">
      <c r="G83" s="36"/>
      <c r="FV83" s="24"/>
    </row>
    <row r="84" spans="7:178" x14ac:dyDescent="0.4">
      <c r="G84" s="36"/>
      <c r="FV84" s="24"/>
    </row>
    <row r="85" spans="7:178" x14ac:dyDescent="0.4">
      <c r="G85" s="36"/>
      <c r="FV85" s="24"/>
    </row>
    <row r="86" spans="7:178" x14ac:dyDescent="0.4">
      <c r="G86" s="36"/>
      <c r="FV86" s="24"/>
    </row>
    <row r="87" spans="7:178" x14ac:dyDescent="0.4">
      <c r="G87" s="36"/>
      <c r="FV87" s="24"/>
    </row>
    <row r="88" spans="7:178" x14ac:dyDescent="0.4">
      <c r="G88" s="36"/>
      <c r="FV88" s="24"/>
    </row>
    <row r="89" spans="7:178" x14ac:dyDescent="0.4">
      <c r="G89" s="36"/>
      <c r="FV89" s="24"/>
    </row>
    <row r="90" spans="7:178" x14ac:dyDescent="0.4">
      <c r="G90" s="36"/>
      <c r="FV90" s="24"/>
    </row>
    <row r="91" spans="7:178" x14ac:dyDescent="0.4">
      <c r="G91" s="36"/>
      <c r="FV91" s="24"/>
    </row>
    <row r="92" spans="7:178" x14ac:dyDescent="0.4">
      <c r="G92" s="36"/>
      <c r="FV92" s="24"/>
    </row>
    <row r="93" spans="7:178" x14ac:dyDescent="0.4">
      <c r="G93" s="36"/>
      <c r="FV93" s="24"/>
    </row>
    <row r="94" spans="7:178" x14ac:dyDescent="0.4">
      <c r="G94" s="36"/>
      <c r="FV94" s="24"/>
    </row>
    <row r="95" spans="7:178" x14ac:dyDescent="0.4">
      <c r="G95" s="36"/>
      <c r="FV95" s="24"/>
    </row>
    <row r="96" spans="7:178" x14ac:dyDescent="0.4">
      <c r="G96" s="36"/>
      <c r="FV96" s="24"/>
    </row>
    <row r="97" spans="7:178" x14ac:dyDescent="0.4">
      <c r="G97" s="36"/>
      <c r="FV97" s="24"/>
    </row>
    <row r="98" spans="7:178" x14ac:dyDescent="0.4">
      <c r="G98" s="36"/>
      <c r="FV98" s="24"/>
    </row>
    <row r="99" spans="7:178" x14ac:dyDescent="0.4">
      <c r="G99" s="36"/>
      <c r="FV99" s="24"/>
    </row>
    <row r="100" spans="7:178" x14ac:dyDescent="0.4">
      <c r="G100" s="36"/>
      <c r="FV100" s="24"/>
    </row>
    <row r="101" spans="7:178" x14ac:dyDescent="0.4">
      <c r="G101" s="36"/>
      <c r="FV101" s="24"/>
    </row>
    <row r="102" spans="7:178" x14ac:dyDescent="0.4">
      <c r="G102" s="36"/>
      <c r="FV102" s="24"/>
    </row>
    <row r="103" spans="7:178" x14ac:dyDescent="0.4">
      <c r="G103" s="36"/>
      <c r="FV103" s="24"/>
    </row>
    <row r="104" spans="7:178" x14ac:dyDescent="0.4">
      <c r="G104" s="36"/>
      <c r="FV104" s="24"/>
    </row>
    <row r="105" spans="7:178" x14ac:dyDescent="0.4">
      <c r="G105" s="36"/>
      <c r="FV105" s="24"/>
    </row>
    <row r="106" spans="7:178" x14ac:dyDescent="0.4">
      <c r="G106" s="36"/>
      <c r="FV106" s="24"/>
    </row>
    <row r="107" spans="7:178" x14ac:dyDescent="0.4">
      <c r="G107" s="36"/>
      <c r="FV107" s="24"/>
    </row>
    <row r="108" spans="7:178" x14ac:dyDescent="0.4">
      <c r="G108" s="36"/>
      <c r="FV108" s="24"/>
    </row>
    <row r="109" spans="7:178" x14ac:dyDescent="0.4">
      <c r="G109" s="36"/>
      <c r="FV109" s="24"/>
    </row>
    <row r="110" spans="7:178" x14ac:dyDescent="0.4">
      <c r="G110" s="36"/>
      <c r="FV110" s="24"/>
    </row>
    <row r="111" spans="7:178" x14ac:dyDescent="0.4">
      <c r="G111" s="36"/>
      <c r="FV111" s="24"/>
    </row>
    <row r="112" spans="7:178" x14ac:dyDescent="0.4">
      <c r="G112" s="36"/>
      <c r="FV112" s="24"/>
    </row>
    <row r="113" spans="7:178" x14ac:dyDescent="0.4">
      <c r="G113" s="36"/>
      <c r="FV113" s="24"/>
    </row>
    <row r="114" spans="7:178" x14ac:dyDescent="0.4">
      <c r="G114" s="36"/>
      <c r="FV114" s="24"/>
    </row>
    <row r="115" spans="7:178" x14ac:dyDescent="0.4">
      <c r="G115" s="36"/>
      <c r="FV115" s="24"/>
    </row>
    <row r="116" spans="7:178" x14ac:dyDescent="0.4">
      <c r="G116" s="36"/>
      <c r="FV116" s="24"/>
    </row>
    <row r="117" spans="7:178" x14ac:dyDescent="0.4">
      <c r="G117" s="36"/>
      <c r="FV117" s="24"/>
    </row>
    <row r="118" spans="7:178" x14ac:dyDescent="0.4">
      <c r="G118" s="36"/>
      <c r="FV118" s="24"/>
    </row>
    <row r="119" spans="7:178" x14ac:dyDescent="0.4">
      <c r="G119" s="36"/>
      <c r="FV119" s="24"/>
    </row>
    <row r="120" spans="7:178" x14ac:dyDescent="0.4">
      <c r="G120" s="36"/>
      <c r="FV120" s="24"/>
    </row>
    <row r="121" spans="7:178" x14ac:dyDescent="0.4">
      <c r="G121" s="36"/>
      <c r="FV121" s="24"/>
    </row>
    <row r="122" spans="7:178" x14ac:dyDescent="0.4">
      <c r="G122" s="36"/>
      <c r="FV122" s="24"/>
    </row>
    <row r="123" spans="7:178" x14ac:dyDescent="0.4">
      <c r="G123" s="36"/>
      <c r="FV123" s="24"/>
    </row>
    <row r="124" spans="7:178" x14ac:dyDescent="0.4">
      <c r="G124" s="36"/>
      <c r="FV124" s="24"/>
    </row>
    <row r="125" spans="7:178" x14ac:dyDescent="0.4">
      <c r="G125" s="36"/>
      <c r="FV125" s="24"/>
    </row>
    <row r="126" spans="7:178" x14ac:dyDescent="0.4">
      <c r="G126" s="36"/>
      <c r="FV126" s="24"/>
    </row>
    <row r="127" spans="7:178" x14ac:dyDescent="0.4">
      <c r="G127" s="36"/>
      <c r="FV127" s="24"/>
    </row>
    <row r="128" spans="7:178" x14ac:dyDescent="0.4">
      <c r="G128" s="36"/>
      <c r="FV128" s="24"/>
    </row>
    <row r="129" spans="7:178" x14ac:dyDescent="0.4">
      <c r="G129" s="36"/>
      <c r="FV129" s="24"/>
    </row>
    <row r="130" spans="7:178" x14ac:dyDescent="0.4">
      <c r="G130" s="36"/>
      <c r="FV130" s="24"/>
    </row>
    <row r="131" spans="7:178" x14ac:dyDescent="0.4">
      <c r="G131" s="36"/>
      <c r="FV131" s="24"/>
    </row>
    <row r="132" spans="7:178" x14ac:dyDescent="0.4">
      <c r="G132" s="36"/>
      <c r="FV132" s="24"/>
    </row>
    <row r="133" spans="7:178" x14ac:dyDescent="0.4">
      <c r="G133" s="36"/>
      <c r="FV133" s="24"/>
    </row>
    <row r="134" spans="7:178" x14ac:dyDescent="0.4">
      <c r="G134" s="36"/>
      <c r="FV134" s="24"/>
    </row>
    <row r="135" spans="7:178" x14ac:dyDescent="0.4">
      <c r="G135" s="36"/>
      <c r="FV135" s="24"/>
    </row>
    <row r="136" spans="7:178" x14ac:dyDescent="0.4">
      <c r="G136" s="36"/>
      <c r="FV136" s="24"/>
    </row>
    <row r="137" spans="7:178" x14ac:dyDescent="0.4">
      <c r="G137" s="36"/>
      <c r="FV137" s="24"/>
    </row>
    <row r="138" spans="7:178" x14ac:dyDescent="0.4">
      <c r="G138" s="36"/>
      <c r="FV138" s="24"/>
    </row>
    <row r="139" spans="7:178" x14ac:dyDescent="0.4">
      <c r="G139" s="36"/>
      <c r="FV139" s="24"/>
    </row>
    <row r="140" spans="7:178" x14ac:dyDescent="0.4">
      <c r="G140" s="36"/>
      <c r="FV140" s="24"/>
    </row>
    <row r="141" spans="7:178" x14ac:dyDescent="0.4">
      <c r="G141" s="36"/>
      <c r="FV141" s="24"/>
    </row>
    <row r="142" spans="7:178" x14ac:dyDescent="0.4">
      <c r="G142" s="36"/>
      <c r="FV142" s="24"/>
    </row>
    <row r="143" spans="7:178" x14ac:dyDescent="0.4">
      <c r="G143" s="36"/>
      <c r="FV143" s="24"/>
    </row>
    <row r="144" spans="7:178" x14ac:dyDescent="0.4">
      <c r="G144" s="36"/>
      <c r="FV144" s="24"/>
    </row>
    <row r="145" spans="7:178" x14ac:dyDescent="0.4">
      <c r="G145" s="36"/>
      <c r="FV145" s="24"/>
    </row>
    <row r="146" spans="7:178" x14ac:dyDescent="0.4">
      <c r="G146" s="36"/>
      <c r="FV146" s="24"/>
    </row>
    <row r="147" spans="7:178" x14ac:dyDescent="0.4">
      <c r="G147" s="36"/>
      <c r="FV147" s="24"/>
    </row>
    <row r="148" spans="7:178" x14ac:dyDescent="0.4">
      <c r="G148" s="36"/>
      <c r="FV148" s="24"/>
    </row>
    <row r="149" spans="7:178" x14ac:dyDescent="0.4">
      <c r="G149" s="36"/>
      <c r="FV149" s="24"/>
    </row>
    <row r="150" spans="7:178" x14ac:dyDescent="0.4">
      <c r="G150" s="36"/>
      <c r="FV150" s="24"/>
    </row>
    <row r="151" spans="7:178" x14ac:dyDescent="0.4">
      <c r="G151" s="36"/>
      <c r="FV151" s="24"/>
    </row>
    <row r="152" spans="7:178" x14ac:dyDescent="0.4">
      <c r="G152" s="36"/>
      <c r="FV152" s="24"/>
    </row>
    <row r="153" spans="7:178" x14ac:dyDescent="0.4">
      <c r="G153" s="36"/>
      <c r="FV153" s="24"/>
    </row>
    <row r="154" spans="7:178" x14ac:dyDescent="0.4">
      <c r="G154" s="36"/>
      <c r="FV154" s="24"/>
    </row>
    <row r="155" spans="7:178" x14ac:dyDescent="0.4">
      <c r="G155" s="36"/>
      <c r="FV155" s="24"/>
    </row>
    <row r="156" spans="7:178" x14ac:dyDescent="0.4">
      <c r="G156" s="36"/>
      <c r="FV156" s="24"/>
    </row>
    <row r="157" spans="7:178" x14ac:dyDescent="0.4">
      <c r="G157" s="36"/>
      <c r="FV157" s="24"/>
    </row>
    <row r="158" spans="7:178" x14ac:dyDescent="0.4">
      <c r="G158" s="36"/>
      <c r="FV158" s="24"/>
    </row>
    <row r="159" spans="7:178" x14ac:dyDescent="0.4">
      <c r="G159" s="36"/>
      <c r="FV159" s="24"/>
    </row>
    <row r="160" spans="7:178" x14ac:dyDescent="0.4">
      <c r="G160" s="36"/>
      <c r="FV160" s="24"/>
    </row>
    <row r="161" spans="7:178" x14ac:dyDescent="0.4">
      <c r="G161" s="36"/>
      <c r="FV161" s="24"/>
    </row>
    <row r="162" spans="7:178" x14ac:dyDescent="0.4">
      <c r="G162" s="36"/>
      <c r="FV162" s="24"/>
    </row>
    <row r="163" spans="7:178" x14ac:dyDescent="0.4">
      <c r="G163" s="36"/>
      <c r="FV163" s="24"/>
    </row>
    <row r="164" spans="7:178" x14ac:dyDescent="0.4">
      <c r="G164" s="36"/>
      <c r="FV164" s="24"/>
    </row>
    <row r="165" spans="7:178" x14ac:dyDescent="0.4">
      <c r="G165" s="36"/>
      <c r="FV165" s="24"/>
    </row>
    <row r="166" spans="7:178" x14ac:dyDescent="0.4">
      <c r="G166" s="36"/>
      <c r="FV166" s="24"/>
    </row>
    <row r="167" spans="7:178" x14ac:dyDescent="0.4">
      <c r="G167" s="36"/>
      <c r="FV167" s="24"/>
    </row>
    <row r="168" spans="7:178" x14ac:dyDescent="0.4">
      <c r="G168" s="36"/>
      <c r="FV168" s="24"/>
    </row>
    <row r="169" spans="7:178" x14ac:dyDescent="0.4">
      <c r="G169" s="36"/>
      <c r="FV169" s="24"/>
    </row>
    <row r="170" spans="7:178" x14ac:dyDescent="0.4">
      <c r="G170" s="36"/>
      <c r="FV170" s="24"/>
    </row>
    <row r="171" spans="7:178" x14ac:dyDescent="0.4">
      <c r="G171" s="36"/>
      <c r="FV171" s="24"/>
    </row>
    <row r="172" spans="7:178" x14ac:dyDescent="0.4">
      <c r="G172" s="36"/>
      <c r="FV172" s="24"/>
    </row>
    <row r="173" spans="7:178" x14ac:dyDescent="0.4">
      <c r="G173" s="36"/>
      <c r="FV173" s="24"/>
    </row>
    <row r="174" spans="7:178" x14ac:dyDescent="0.4">
      <c r="G174" s="36"/>
      <c r="FV174" s="24"/>
    </row>
    <row r="175" spans="7:178" x14ac:dyDescent="0.4">
      <c r="G175" s="36"/>
      <c r="FV175" s="24"/>
    </row>
    <row r="176" spans="7:178" x14ac:dyDescent="0.4">
      <c r="G176" s="36"/>
      <c r="FV176" s="24"/>
    </row>
    <row r="177" spans="7:178" x14ac:dyDescent="0.4">
      <c r="G177" s="36"/>
      <c r="FV177" s="24"/>
    </row>
    <row r="178" spans="7:178" x14ac:dyDescent="0.4">
      <c r="G178" s="36"/>
      <c r="FV178" s="24"/>
    </row>
    <row r="179" spans="7:178" x14ac:dyDescent="0.4">
      <c r="G179" s="36"/>
      <c r="FV179" s="24"/>
    </row>
    <row r="180" spans="7:178" x14ac:dyDescent="0.4">
      <c r="G180" s="36"/>
      <c r="FV180" s="24"/>
    </row>
    <row r="181" spans="7:178" x14ac:dyDescent="0.4">
      <c r="G181" s="36"/>
      <c r="FV181" s="24"/>
    </row>
    <row r="182" spans="7:178" x14ac:dyDescent="0.4">
      <c r="G182" s="36"/>
      <c r="FV182" s="24"/>
    </row>
    <row r="183" spans="7:178" x14ac:dyDescent="0.4">
      <c r="G183" s="36"/>
      <c r="FV183" s="24"/>
    </row>
    <row r="184" spans="7:178" x14ac:dyDescent="0.4">
      <c r="G184" s="36"/>
      <c r="FV184" s="24"/>
    </row>
    <row r="185" spans="7:178" x14ac:dyDescent="0.4">
      <c r="G185" s="36"/>
      <c r="FV185" s="24"/>
    </row>
    <row r="186" spans="7:178" x14ac:dyDescent="0.4">
      <c r="G186" s="36"/>
      <c r="FV186" s="24"/>
    </row>
    <row r="187" spans="7:178" x14ac:dyDescent="0.4">
      <c r="G187" s="36"/>
      <c r="FV187" s="24"/>
    </row>
    <row r="188" spans="7:178" x14ac:dyDescent="0.4">
      <c r="G188" s="36"/>
      <c r="FV188" s="24"/>
    </row>
    <row r="189" spans="7:178" x14ac:dyDescent="0.4">
      <c r="G189" s="36"/>
      <c r="FV189" s="24"/>
    </row>
    <row r="190" spans="7:178" x14ac:dyDescent="0.4">
      <c r="G190" s="36"/>
      <c r="FV190" s="24"/>
    </row>
    <row r="191" spans="7:178" x14ac:dyDescent="0.4">
      <c r="G191" s="36"/>
      <c r="FV191" s="24"/>
    </row>
    <row r="192" spans="7:178" x14ac:dyDescent="0.4">
      <c r="G192" s="36"/>
      <c r="FV192" s="24"/>
    </row>
    <row r="193" spans="7:178" x14ac:dyDescent="0.4">
      <c r="G193" s="36"/>
      <c r="FV193" s="24"/>
    </row>
    <row r="194" spans="7:178" x14ac:dyDescent="0.4">
      <c r="G194" s="36"/>
      <c r="FV194" s="24"/>
    </row>
    <row r="195" spans="7:178" x14ac:dyDescent="0.4">
      <c r="G195" s="36"/>
      <c r="FV195" s="24"/>
    </row>
    <row r="196" spans="7:178" x14ac:dyDescent="0.4">
      <c r="G196" s="36"/>
      <c r="FV196" s="24"/>
    </row>
    <row r="197" spans="7:178" x14ac:dyDescent="0.4">
      <c r="G197" s="36"/>
      <c r="FV197" s="24"/>
    </row>
    <row r="198" spans="7:178" x14ac:dyDescent="0.4">
      <c r="G198" s="36"/>
      <c r="FV198" s="24"/>
    </row>
    <row r="199" spans="7:178" x14ac:dyDescent="0.4">
      <c r="G199" s="36"/>
      <c r="FV199" s="24"/>
    </row>
    <row r="200" spans="7:178" x14ac:dyDescent="0.4">
      <c r="G200" s="36"/>
      <c r="FV200" s="24"/>
    </row>
    <row r="201" spans="7:178" x14ac:dyDescent="0.4">
      <c r="G201" s="36"/>
      <c r="FV201" s="24"/>
    </row>
    <row r="202" spans="7:178" x14ac:dyDescent="0.4">
      <c r="G202" s="36"/>
      <c r="FV202" s="24"/>
    </row>
    <row r="203" spans="7:178" x14ac:dyDescent="0.4">
      <c r="G203" s="36"/>
      <c r="FV203" s="24"/>
    </row>
    <row r="204" spans="7:178" x14ac:dyDescent="0.4">
      <c r="G204" s="36"/>
      <c r="FV204" s="24"/>
    </row>
    <row r="205" spans="7:178" x14ac:dyDescent="0.4">
      <c r="G205" s="36"/>
      <c r="FV205" s="24"/>
    </row>
    <row r="206" spans="7:178" x14ac:dyDescent="0.4">
      <c r="G206" s="36"/>
      <c r="FV206" s="24"/>
    </row>
    <row r="207" spans="7:178" x14ac:dyDescent="0.4">
      <c r="G207" s="36"/>
      <c r="FV207" s="24"/>
    </row>
    <row r="208" spans="7:178" x14ac:dyDescent="0.4">
      <c r="G208" s="36"/>
      <c r="FV208" s="24"/>
    </row>
    <row r="209" spans="7:178" x14ac:dyDescent="0.4">
      <c r="G209" s="36"/>
      <c r="FV209" s="24"/>
    </row>
    <row r="210" spans="7:178" x14ac:dyDescent="0.4">
      <c r="G210" s="36"/>
      <c r="FV210" s="24"/>
    </row>
    <row r="211" spans="7:178" x14ac:dyDescent="0.4">
      <c r="G211" s="36"/>
      <c r="FV211" s="24"/>
    </row>
    <row r="212" spans="7:178" x14ac:dyDescent="0.4">
      <c r="G212" s="36"/>
      <c r="FV212" s="24"/>
    </row>
    <row r="213" spans="7:178" x14ac:dyDescent="0.4">
      <c r="G213" s="36"/>
      <c r="FV213" s="24"/>
    </row>
    <row r="214" spans="7:178" x14ac:dyDescent="0.4">
      <c r="G214" s="36"/>
      <c r="FV214" s="24"/>
    </row>
    <row r="215" spans="7:178" x14ac:dyDescent="0.4">
      <c r="G215" s="36"/>
      <c r="FV215" s="24"/>
    </row>
    <row r="216" spans="7:178" x14ac:dyDescent="0.4">
      <c r="G216" s="36"/>
      <c r="FV216" s="24"/>
    </row>
    <row r="217" spans="7:178" x14ac:dyDescent="0.4">
      <c r="G217" s="36"/>
      <c r="FV217" s="24"/>
    </row>
    <row r="218" spans="7:178" x14ac:dyDescent="0.4">
      <c r="G218" s="36"/>
      <c r="FV218" s="24"/>
    </row>
    <row r="219" spans="7:178" x14ac:dyDescent="0.4">
      <c r="G219" s="36"/>
      <c r="FV219" s="24"/>
    </row>
    <row r="220" spans="7:178" x14ac:dyDescent="0.4">
      <c r="G220" s="36"/>
      <c r="FV220" s="24"/>
    </row>
    <row r="221" spans="7:178" x14ac:dyDescent="0.4">
      <c r="G221" s="36"/>
      <c r="FV221" s="24"/>
    </row>
    <row r="222" spans="7:178" x14ac:dyDescent="0.4">
      <c r="G222" s="36"/>
      <c r="FV222" s="24"/>
    </row>
    <row r="223" spans="7:178" x14ac:dyDescent="0.4">
      <c r="G223" s="36"/>
      <c r="FV223" s="24"/>
    </row>
    <row r="224" spans="7:178" x14ac:dyDescent="0.4">
      <c r="G224" s="36"/>
      <c r="FV224" s="24"/>
    </row>
    <row r="225" spans="7:178" x14ac:dyDescent="0.4">
      <c r="G225" s="36"/>
      <c r="FV225" s="24"/>
    </row>
    <row r="226" spans="7:178" x14ac:dyDescent="0.4">
      <c r="G226" s="36"/>
      <c r="FV226" s="24"/>
    </row>
    <row r="227" spans="7:178" x14ac:dyDescent="0.4">
      <c r="G227" s="36"/>
      <c r="FV227" s="24"/>
    </row>
    <row r="228" spans="7:178" x14ac:dyDescent="0.4">
      <c r="G228" s="36"/>
      <c r="FV228" s="24"/>
    </row>
    <row r="229" spans="7:178" x14ac:dyDescent="0.4">
      <c r="G229" s="36"/>
      <c r="FV229" s="24"/>
    </row>
    <row r="230" spans="7:178" x14ac:dyDescent="0.4">
      <c r="G230" s="36"/>
      <c r="FV230" s="24"/>
    </row>
    <row r="231" spans="7:178" x14ac:dyDescent="0.4">
      <c r="G231" s="36"/>
      <c r="FV231" s="24"/>
    </row>
    <row r="232" spans="7:178" x14ac:dyDescent="0.4">
      <c r="G232" s="36"/>
      <c r="FV232" s="24"/>
    </row>
    <row r="233" spans="7:178" x14ac:dyDescent="0.4">
      <c r="G233" s="36"/>
      <c r="FV233" s="24"/>
    </row>
    <row r="234" spans="7:178" x14ac:dyDescent="0.4">
      <c r="G234" s="36"/>
      <c r="FV234" s="24"/>
    </row>
    <row r="235" spans="7:178" x14ac:dyDescent="0.4">
      <c r="G235" s="36"/>
      <c r="FV235" s="24"/>
    </row>
    <row r="236" spans="7:178" x14ac:dyDescent="0.4">
      <c r="G236" s="36"/>
      <c r="FV236" s="24"/>
    </row>
    <row r="237" spans="7:178" x14ac:dyDescent="0.4">
      <c r="G237" s="36"/>
      <c r="FV237" s="24"/>
    </row>
    <row r="238" spans="7:178" x14ac:dyDescent="0.4">
      <c r="G238" s="36"/>
      <c r="FV238" s="24"/>
    </row>
    <row r="239" spans="7:178" x14ac:dyDescent="0.4">
      <c r="G239" s="36"/>
      <c r="FV239" s="24"/>
    </row>
    <row r="240" spans="7:178" x14ac:dyDescent="0.4">
      <c r="G240" s="36"/>
      <c r="FV240" s="24"/>
    </row>
    <row r="241" spans="7:178" x14ac:dyDescent="0.4">
      <c r="G241" s="36"/>
      <c r="FV241" s="24"/>
    </row>
    <row r="242" spans="7:178" x14ac:dyDescent="0.4">
      <c r="G242" s="36"/>
      <c r="FV242" s="24"/>
    </row>
    <row r="243" spans="7:178" x14ac:dyDescent="0.4">
      <c r="G243" s="36"/>
      <c r="FV243" s="24"/>
    </row>
    <row r="244" spans="7:178" x14ac:dyDescent="0.4">
      <c r="G244" s="36"/>
      <c r="FV244" s="24"/>
    </row>
    <row r="245" spans="7:178" x14ac:dyDescent="0.4">
      <c r="G245" s="36"/>
      <c r="FV245" s="24"/>
    </row>
    <row r="246" spans="7:178" x14ac:dyDescent="0.4">
      <c r="G246" s="36"/>
      <c r="FV246" s="24"/>
    </row>
    <row r="247" spans="7:178" x14ac:dyDescent="0.4">
      <c r="G247" s="36"/>
      <c r="FV247" s="24"/>
    </row>
    <row r="248" spans="7:178" x14ac:dyDescent="0.4">
      <c r="G248" s="36"/>
      <c r="FV248" s="24"/>
    </row>
    <row r="249" spans="7:178" x14ac:dyDescent="0.4">
      <c r="G249" s="36"/>
      <c r="FV249" s="24"/>
    </row>
    <row r="250" spans="7:178" x14ac:dyDescent="0.4">
      <c r="G250" s="36"/>
      <c r="FV250" s="24"/>
    </row>
    <row r="251" spans="7:178" x14ac:dyDescent="0.4">
      <c r="G251" s="36"/>
      <c r="FV251" s="24"/>
    </row>
    <row r="252" spans="7:178" x14ac:dyDescent="0.4">
      <c r="G252" s="36"/>
      <c r="FV252" s="24"/>
    </row>
    <row r="253" spans="7:178" x14ac:dyDescent="0.4">
      <c r="G253" s="36"/>
      <c r="FV253" s="24"/>
    </row>
    <row r="254" spans="7:178" x14ac:dyDescent="0.4">
      <c r="G254" s="36"/>
      <c r="FV254" s="24"/>
    </row>
    <row r="255" spans="7:178" x14ac:dyDescent="0.4">
      <c r="G255" s="36"/>
      <c r="FV255" s="24"/>
    </row>
    <row r="256" spans="7:178" x14ac:dyDescent="0.4">
      <c r="G256" s="36"/>
      <c r="FV256" s="24"/>
    </row>
    <row r="257" spans="7:178" x14ac:dyDescent="0.4">
      <c r="G257" s="36"/>
      <c r="FV257" s="24"/>
    </row>
    <row r="258" spans="7:178" x14ac:dyDescent="0.4">
      <c r="G258" s="36"/>
      <c r="FV258" s="24"/>
    </row>
    <row r="259" spans="7:178" x14ac:dyDescent="0.4">
      <c r="G259" s="36"/>
      <c r="FV259" s="24"/>
    </row>
    <row r="260" spans="7:178" x14ac:dyDescent="0.4">
      <c r="G260" s="36"/>
      <c r="FV260" s="24"/>
    </row>
    <row r="261" spans="7:178" x14ac:dyDescent="0.4">
      <c r="G261" s="36"/>
      <c r="FV261" s="24"/>
    </row>
    <row r="262" spans="7:178" x14ac:dyDescent="0.4">
      <c r="G262" s="36"/>
      <c r="FV262" s="24"/>
    </row>
    <row r="263" spans="7:178" x14ac:dyDescent="0.4">
      <c r="G263" s="36"/>
      <c r="FV263" s="24"/>
    </row>
    <row r="264" spans="7:178" x14ac:dyDescent="0.4">
      <c r="G264" s="36"/>
      <c r="FV264" s="24"/>
    </row>
    <row r="265" spans="7:178" x14ac:dyDescent="0.4">
      <c r="G265" s="36"/>
      <c r="FV265" s="24"/>
    </row>
    <row r="266" spans="7:178" x14ac:dyDescent="0.4">
      <c r="G266" s="36"/>
      <c r="FV266" s="24"/>
    </row>
    <row r="267" spans="7:178" x14ac:dyDescent="0.4">
      <c r="G267" s="36"/>
      <c r="FV267" s="24"/>
    </row>
    <row r="268" spans="7:178" x14ac:dyDescent="0.4">
      <c r="G268" s="36"/>
      <c r="FV268" s="24"/>
    </row>
    <row r="269" spans="7:178" x14ac:dyDescent="0.4">
      <c r="G269" s="36"/>
      <c r="FV269" s="24"/>
    </row>
    <row r="270" spans="7:178" x14ac:dyDescent="0.4">
      <c r="G270" s="36"/>
      <c r="FV270" s="24"/>
    </row>
    <row r="271" spans="7:178" x14ac:dyDescent="0.4">
      <c r="G271" s="36"/>
      <c r="FV271" s="24"/>
    </row>
    <row r="272" spans="7:178" x14ac:dyDescent="0.4">
      <c r="G272" s="36"/>
      <c r="FV272" s="24"/>
    </row>
    <row r="273" spans="7:178" x14ac:dyDescent="0.4">
      <c r="G273" s="36"/>
      <c r="FV273" s="24"/>
    </row>
    <row r="274" spans="7:178" x14ac:dyDescent="0.4">
      <c r="G274" s="36"/>
      <c r="FV274" s="24"/>
    </row>
    <row r="275" spans="7:178" x14ac:dyDescent="0.4">
      <c r="G275" s="36"/>
      <c r="FV275" s="24"/>
    </row>
    <row r="276" spans="7:178" x14ac:dyDescent="0.4">
      <c r="G276" s="36"/>
      <c r="FV276" s="24"/>
    </row>
    <row r="277" spans="7:178" x14ac:dyDescent="0.4">
      <c r="G277" s="36"/>
      <c r="FV277" s="24"/>
    </row>
    <row r="278" spans="7:178" x14ac:dyDescent="0.4">
      <c r="G278" s="36"/>
      <c r="FV278" s="24"/>
    </row>
    <row r="279" spans="7:178" x14ac:dyDescent="0.4">
      <c r="G279" s="36"/>
      <c r="FV279" s="24"/>
    </row>
    <row r="280" spans="7:178" x14ac:dyDescent="0.4">
      <c r="G280" s="36"/>
      <c r="FV280" s="24"/>
    </row>
    <row r="281" spans="7:178" x14ac:dyDescent="0.4">
      <c r="G281" s="36"/>
      <c r="FV281" s="24"/>
    </row>
    <row r="282" spans="7:178" x14ac:dyDescent="0.4">
      <c r="G282" s="36"/>
      <c r="FV282" s="24"/>
    </row>
    <row r="283" spans="7:178" x14ac:dyDescent="0.4">
      <c r="G283" s="36"/>
      <c r="FV283" s="24"/>
    </row>
    <row r="284" spans="7:178" x14ac:dyDescent="0.4">
      <c r="G284" s="36"/>
      <c r="FV284" s="24"/>
    </row>
    <row r="285" spans="7:178" x14ac:dyDescent="0.4">
      <c r="G285" s="36"/>
      <c r="FV285" s="24"/>
    </row>
    <row r="286" spans="7:178" x14ac:dyDescent="0.4">
      <c r="G286" s="36"/>
      <c r="FV286" s="24"/>
    </row>
    <row r="287" spans="7:178" x14ac:dyDescent="0.4">
      <c r="G287" s="36"/>
      <c r="FV287" s="24"/>
    </row>
    <row r="288" spans="7:178" x14ac:dyDescent="0.4">
      <c r="G288" s="36"/>
      <c r="FV288" s="24"/>
    </row>
    <row r="289" spans="7:178" x14ac:dyDescent="0.4">
      <c r="G289" s="36"/>
      <c r="FV289" s="24"/>
    </row>
    <row r="290" spans="7:178" x14ac:dyDescent="0.4">
      <c r="G290" s="36"/>
      <c r="FV290" s="24"/>
    </row>
    <row r="291" spans="7:178" x14ac:dyDescent="0.4">
      <c r="G291" s="36"/>
      <c r="FV291" s="24"/>
    </row>
    <row r="292" spans="7:178" x14ac:dyDescent="0.4">
      <c r="G292" s="36"/>
      <c r="FV292" s="24"/>
    </row>
    <row r="293" spans="7:178" x14ac:dyDescent="0.4">
      <c r="G293" s="36"/>
      <c r="FV293" s="24"/>
    </row>
    <row r="294" spans="7:178" x14ac:dyDescent="0.4">
      <c r="G294" s="36"/>
      <c r="FV294" s="24"/>
    </row>
    <row r="295" spans="7:178" x14ac:dyDescent="0.4">
      <c r="G295" s="36"/>
      <c r="FV295" s="24"/>
    </row>
    <row r="296" spans="7:178" x14ac:dyDescent="0.4">
      <c r="G296" s="36"/>
      <c r="FV296" s="24"/>
    </row>
    <row r="297" spans="7:178" x14ac:dyDescent="0.4">
      <c r="G297" s="36"/>
      <c r="FV297" s="24"/>
    </row>
    <row r="298" spans="7:178" x14ac:dyDescent="0.4">
      <c r="G298" s="36"/>
      <c r="FV298" s="24"/>
    </row>
    <row r="299" spans="7:178" x14ac:dyDescent="0.4">
      <c r="G299" s="36"/>
      <c r="FV299" s="24"/>
    </row>
    <row r="300" spans="7:178" x14ac:dyDescent="0.4">
      <c r="G300" s="36"/>
      <c r="FV300" s="24"/>
    </row>
    <row r="301" spans="7:178" x14ac:dyDescent="0.4">
      <c r="G301" s="36"/>
      <c r="FV301" s="24"/>
    </row>
    <row r="302" spans="7:178" x14ac:dyDescent="0.4">
      <c r="G302" s="36"/>
      <c r="FV302" s="24"/>
    </row>
    <row r="303" spans="7:178" x14ac:dyDescent="0.4">
      <c r="G303" s="36"/>
      <c r="FV303" s="24"/>
    </row>
    <row r="304" spans="7:178" x14ac:dyDescent="0.4">
      <c r="G304" s="36"/>
      <c r="FV304" s="24"/>
    </row>
    <row r="305" spans="7:178" x14ac:dyDescent="0.4">
      <c r="G305" s="36"/>
      <c r="FV305" s="24"/>
    </row>
    <row r="306" spans="7:178" x14ac:dyDescent="0.4">
      <c r="G306" s="36"/>
      <c r="FV306" s="24"/>
    </row>
    <row r="307" spans="7:178" x14ac:dyDescent="0.4">
      <c r="G307" s="36"/>
      <c r="FV307" s="24"/>
    </row>
    <row r="308" spans="7:178" x14ac:dyDescent="0.4">
      <c r="G308" s="36"/>
      <c r="FV308" s="24"/>
    </row>
    <row r="309" spans="7:178" x14ac:dyDescent="0.4">
      <c r="G309" s="36"/>
      <c r="FV309" s="24"/>
    </row>
    <row r="310" spans="7:178" x14ac:dyDescent="0.4">
      <c r="G310" s="36"/>
      <c r="FV310" s="24"/>
    </row>
    <row r="311" spans="7:178" x14ac:dyDescent="0.4">
      <c r="G311" s="36"/>
      <c r="FV311" s="24"/>
    </row>
    <row r="312" spans="7:178" x14ac:dyDescent="0.4">
      <c r="G312" s="36"/>
      <c r="FV312" s="24"/>
    </row>
    <row r="313" spans="7:178" x14ac:dyDescent="0.4">
      <c r="G313" s="36"/>
      <c r="FV313" s="24"/>
    </row>
    <row r="314" spans="7:178" x14ac:dyDescent="0.4">
      <c r="G314" s="36"/>
      <c r="FV314" s="24"/>
    </row>
    <row r="315" spans="7:178" x14ac:dyDescent="0.4">
      <c r="G315" s="36"/>
      <c r="FV315" s="24"/>
    </row>
    <row r="316" spans="7:178" x14ac:dyDescent="0.4">
      <c r="G316" s="36"/>
      <c r="FV316" s="24"/>
    </row>
    <row r="317" spans="7:178" x14ac:dyDescent="0.4">
      <c r="G317" s="36"/>
      <c r="FV317" s="24"/>
    </row>
    <row r="318" spans="7:178" x14ac:dyDescent="0.4">
      <c r="G318" s="36"/>
      <c r="FV318" s="24"/>
    </row>
    <row r="319" spans="7:178" x14ac:dyDescent="0.4">
      <c r="G319" s="36"/>
      <c r="FV319" s="24"/>
    </row>
    <row r="320" spans="7:178" x14ac:dyDescent="0.4">
      <c r="G320" s="36"/>
      <c r="FV320" s="24"/>
    </row>
    <row r="321" spans="7:178" x14ac:dyDescent="0.4">
      <c r="G321" s="36"/>
      <c r="FV321" s="24"/>
    </row>
    <row r="322" spans="7:178" x14ac:dyDescent="0.4">
      <c r="G322" s="36"/>
      <c r="FV322" s="24"/>
    </row>
    <row r="323" spans="7:178" x14ac:dyDescent="0.4">
      <c r="G323" s="36"/>
      <c r="FV323" s="24"/>
    </row>
    <row r="324" spans="7:178" x14ac:dyDescent="0.4">
      <c r="G324" s="36"/>
      <c r="FV324" s="24"/>
    </row>
    <row r="325" spans="7:178" x14ac:dyDescent="0.4">
      <c r="G325" s="36"/>
      <c r="FV325" s="24"/>
    </row>
    <row r="326" spans="7:178" x14ac:dyDescent="0.4">
      <c r="G326" s="36"/>
      <c r="DS326" s="31"/>
      <c r="ER326" s="31"/>
      <c r="FV326" s="24"/>
    </row>
    <row r="327" spans="7:178" x14ac:dyDescent="0.4">
      <c r="G327" s="36"/>
      <c r="FV327" s="24"/>
    </row>
    <row r="328" spans="7:178" x14ac:dyDescent="0.4">
      <c r="G328" s="36"/>
      <c r="FV328" s="24"/>
    </row>
    <row r="329" spans="7:178" x14ac:dyDescent="0.4">
      <c r="G329" s="36"/>
      <c r="FV329" s="24"/>
    </row>
    <row r="330" spans="7:178" x14ac:dyDescent="0.4">
      <c r="G330" s="36"/>
      <c r="FV330" s="24"/>
    </row>
    <row r="331" spans="7:178" x14ac:dyDescent="0.4">
      <c r="G331" s="36"/>
      <c r="FV331" s="24"/>
    </row>
    <row r="332" spans="7:178" x14ac:dyDescent="0.4">
      <c r="G332" s="36"/>
      <c r="FV332" s="24"/>
    </row>
    <row r="333" spans="7:178" x14ac:dyDescent="0.4">
      <c r="G333" s="36"/>
      <c r="FV333" s="24"/>
    </row>
    <row r="334" spans="7:178" x14ac:dyDescent="0.4">
      <c r="G334" s="36"/>
      <c r="FV334" s="24"/>
    </row>
    <row r="335" spans="7:178" x14ac:dyDescent="0.4">
      <c r="G335" s="36"/>
      <c r="FV335" s="24"/>
    </row>
    <row r="336" spans="7:178" x14ac:dyDescent="0.4">
      <c r="G336" s="36"/>
      <c r="FV336" s="24"/>
    </row>
    <row r="337" spans="7:178" x14ac:dyDescent="0.4">
      <c r="G337" s="36"/>
      <c r="FV337" s="24"/>
    </row>
    <row r="338" spans="7:178" x14ac:dyDescent="0.4">
      <c r="G338" s="36"/>
      <c r="FV338" s="24"/>
    </row>
    <row r="339" spans="7:178" x14ac:dyDescent="0.4">
      <c r="G339" s="36"/>
      <c r="FV339" s="24"/>
    </row>
    <row r="340" spans="7:178" x14ac:dyDescent="0.4">
      <c r="G340" s="36"/>
      <c r="FV340" s="24"/>
    </row>
    <row r="341" spans="7:178" x14ac:dyDescent="0.4">
      <c r="G341" s="36"/>
      <c r="FV341" s="24"/>
    </row>
    <row r="342" spans="7:178" x14ac:dyDescent="0.4">
      <c r="G342" s="36"/>
      <c r="FV342" s="24"/>
    </row>
    <row r="343" spans="7:178" x14ac:dyDescent="0.4">
      <c r="G343" s="36"/>
      <c r="FV343" s="24"/>
    </row>
    <row r="344" spans="7:178" x14ac:dyDescent="0.4">
      <c r="G344" s="36"/>
      <c r="FV344" s="24"/>
    </row>
    <row r="345" spans="7:178" x14ac:dyDescent="0.4">
      <c r="G345" s="36"/>
      <c r="FV345" s="24"/>
    </row>
    <row r="346" spans="7:178" x14ac:dyDescent="0.4">
      <c r="G346" s="36"/>
      <c r="FV346" s="24"/>
    </row>
    <row r="347" spans="7:178" x14ac:dyDescent="0.4">
      <c r="G347" s="36"/>
      <c r="FV347" s="24"/>
    </row>
    <row r="348" spans="7:178" x14ac:dyDescent="0.4">
      <c r="G348" s="36"/>
      <c r="FV348" s="24"/>
    </row>
    <row r="349" spans="7:178" x14ac:dyDescent="0.4">
      <c r="G349" s="36"/>
      <c r="FV349" s="24"/>
    </row>
    <row r="350" spans="7:178" x14ac:dyDescent="0.4">
      <c r="G350" s="36"/>
      <c r="FV350" s="24"/>
    </row>
    <row r="351" spans="7:178" x14ac:dyDescent="0.4">
      <c r="G351" s="36"/>
      <c r="FV351" s="24"/>
    </row>
    <row r="352" spans="7:178" x14ac:dyDescent="0.4">
      <c r="G352" s="36"/>
      <c r="FV352" s="24"/>
    </row>
    <row r="353" spans="7:178" x14ac:dyDescent="0.4">
      <c r="G353" s="36"/>
      <c r="FV353" s="24"/>
    </row>
    <row r="354" spans="7:178" x14ac:dyDescent="0.4">
      <c r="G354" s="36"/>
      <c r="FV354" s="24"/>
    </row>
    <row r="355" spans="7:178" x14ac:dyDescent="0.4">
      <c r="G355" s="36"/>
      <c r="FV355" s="24"/>
    </row>
    <row r="356" spans="7:178" x14ac:dyDescent="0.4">
      <c r="G356" s="36"/>
      <c r="FV356" s="24"/>
    </row>
    <row r="357" spans="7:178" x14ac:dyDescent="0.4">
      <c r="G357" s="36"/>
      <c r="FV357" s="24"/>
    </row>
    <row r="358" spans="7:178" x14ac:dyDescent="0.4">
      <c r="G358" s="36"/>
      <c r="FV358" s="24"/>
    </row>
    <row r="359" spans="7:178" x14ac:dyDescent="0.4">
      <c r="G359" s="36"/>
      <c r="FV359" s="24"/>
    </row>
    <row r="360" spans="7:178" x14ac:dyDescent="0.4">
      <c r="G360" s="36"/>
      <c r="FV360" s="24"/>
    </row>
    <row r="361" spans="7:178" x14ac:dyDescent="0.4">
      <c r="G361" s="36"/>
      <c r="FV361" s="24"/>
    </row>
    <row r="362" spans="7:178" x14ac:dyDescent="0.4">
      <c r="G362" s="36"/>
      <c r="FV362" s="24"/>
    </row>
    <row r="363" spans="7:178" x14ac:dyDescent="0.4">
      <c r="G363" s="36"/>
      <c r="FV363" s="24"/>
    </row>
    <row r="364" spans="7:178" x14ac:dyDescent="0.4">
      <c r="G364" s="36"/>
      <c r="FV364" s="24"/>
    </row>
    <row r="365" spans="7:178" x14ac:dyDescent="0.4">
      <c r="G365" s="36"/>
      <c r="FV365" s="24"/>
    </row>
    <row r="366" spans="7:178" x14ac:dyDescent="0.4">
      <c r="G366" s="36"/>
      <c r="FV366" s="24"/>
    </row>
    <row r="367" spans="7:178" x14ac:dyDescent="0.4">
      <c r="G367" s="36"/>
      <c r="FV367" s="24"/>
    </row>
    <row r="368" spans="7:178" x14ac:dyDescent="0.4">
      <c r="G368" s="36"/>
      <c r="FV368" s="24"/>
    </row>
    <row r="369" spans="7:178" x14ac:dyDescent="0.4">
      <c r="G369" s="36"/>
      <c r="FV369" s="24"/>
    </row>
    <row r="370" spans="7:178" x14ac:dyDescent="0.4">
      <c r="G370" s="36"/>
      <c r="FV370" s="24"/>
    </row>
    <row r="371" spans="7:178" x14ac:dyDescent="0.4">
      <c r="G371" s="36"/>
      <c r="FV371" s="24"/>
    </row>
    <row r="372" spans="7:178" x14ac:dyDescent="0.4">
      <c r="G372" s="36"/>
      <c r="FV372" s="24"/>
    </row>
    <row r="373" spans="7:178" x14ac:dyDescent="0.4">
      <c r="G373" s="36"/>
      <c r="FV373" s="24"/>
    </row>
    <row r="374" spans="7:178" x14ac:dyDescent="0.4">
      <c r="G374" s="36"/>
      <c r="FV374" s="24"/>
    </row>
    <row r="375" spans="7:178" x14ac:dyDescent="0.4">
      <c r="G375" s="36"/>
      <c r="FV375" s="24"/>
    </row>
    <row r="376" spans="7:178" x14ac:dyDescent="0.4">
      <c r="G376" s="36"/>
      <c r="FV376" s="24"/>
    </row>
    <row r="377" spans="7:178" x14ac:dyDescent="0.4">
      <c r="G377" s="36"/>
      <c r="FV377" s="24"/>
    </row>
    <row r="378" spans="7:178" x14ac:dyDescent="0.4">
      <c r="G378" s="36"/>
      <c r="FV378" s="24"/>
    </row>
    <row r="379" spans="7:178" x14ac:dyDescent="0.4">
      <c r="G379" s="36"/>
      <c r="FV379" s="24"/>
    </row>
    <row r="380" spans="7:178" x14ac:dyDescent="0.4">
      <c r="G380" s="36"/>
      <c r="FV380" s="24"/>
    </row>
    <row r="381" spans="7:178" x14ac:dyDescent="0.4">
      <c r="G381" s="36"/>
      <c r="FV381" s="24"/>
    </row>
    <row r="382" spans="7:178" x14ac:dyDescent="0.4">
      <c r="G382" s="36"/>
      <c r="FV382" s="24"/>
    </row>
    <row r="383" spans="7:178" x14ac:dyDescent="0.4">
      <c r="G383" s="36"/>
      <c r="FV383" s="24"/>
    </row>
    <row r="384" spans="7:178" x14ac:dyDescent="0.4">
      <c r="G384" s="36"/>
      <c r="FV384" s="24"/>
    </row>
    <row r="385" spans="7:178" x14ac:dyDescent="0.4">
      <c r="G385" s="36"/>
      <c r="FV385" s="24"/>
    </row>
    <row r="386" spans="7:178" x14ac:dyDescent="0.4">
      <c r="G386" s="36"/>
      <c r="FV386" s="24"/>
    </row>
    <row r="387" spans="7:178" x14ac:dyDescent="0.4">
      <c r="G387" s="36"/>
      <c r="FV387" s="24"/>
    </row>
    <row r="388" spans="7:178" x14ac:dyDescent="0.4">
      <c r="G388" s="36"/>
      <c r="FV388" s="24"/>
    </row>
    <row r="389" spans="7:178" x14ac:dyDescent="0.4">
      <c r="G389" s="36"/>
      <c r="FV389" s="24"/>
    </row>
    <row r="390" spans="7:178" x14ac:dyDescent="0.4">
      <c r="G390" s="36"/>
      <c r="FV390" s="24"/>
    </row>
    <row r="391" spans="7:178" x14ac:dyDescent="0.4">
      <c r="G391" s="36"/>
      <c r="FV391" s="24"/>
    </row>
    <row r="392" spans="7:178" x14ac:dyDescent="0.4">
      <c r="G392" s="36"/>
      <c r="FV392" s="24"/>
    </row>
    <row r="393" spans="7:178" x14ac:dyDescent="0.4">
      <c r="G393" s="36"/>
      <c r="FV393" s="24"/>
    </row>
    <row r="394" spans="7:178" x14ac:dyDescent="0.4">
      <c r="G394" s="36"/>
      <c r="FV394" s="24"/>
    </row>
    <row r="395" spans="7:178" x14ac:dyDescent="0.4">
      <c r="G395" s="36"/>
      <c r="FV395" s="24"/>
    </row>
    <row r="396" spans="7:178" x14ac:dyDescent="0.4">
      <c r="G396" s="36"/>
      <c r="FV396" s="24"/>
    </row>
    <row r="397" spans="7:178" x14ac:dyDescent="0.4">
      <c r="G397" s="36"/>
      <c r="FV397" s="24"/>
    </row>
    <row r="398" spans="7:178" x14ac:dyDescent="0.4">
      <c r="G398" s="36"/>
      <c r="FV398" s="24"/>
    </row>
    <row r="399" spans="7:178" x14ac:dyDescent="0.4">
      <c r="G399" s="36"/>
      <c r="FV399" s="24"/>
    </row>
    <row r="400" spans="7:178" x14ac:dyDescent="0.4">
      <c r="G400" s="36"/>
      <c r="FV400" s="24"/>
    </row>
    <row r="401" spans="7:178" x14ac:dyDescent="0.4">
      <c r="G401" s="36"/>
      <c r="FV401" s="24"/>
    </row>
    <row r="402" spans="7:178" x14ac:dyDescent="0.4">
      <c r="G402" s="36"/>
      <c r="FV402" s="24"/>
    </row>
    <row r="403" spans="7:178" x14ac:dyDescent="0.4">
      <c r="G403" s="36"/>
      <c r="FV403" s="24"/>
    </row>
    <row r="404" spans="7:178" x14ac:dyDescent="0.4">
      <c r="G404" s="36"/>
      <c r="FV404" s="24"/>
    </row>
    <row r="405" spans="7:178" x14ac:dyDescent="0.4">
      <c r="G405" s="36"/>
      <c r="FV405" s="24"/>
    </row>
    <row r="406" spans="7:178" x14ac:dyDescent="0.4">
      <c r="G406" s="36"/>
      <c r="FV406" s="24"/>
    </row>
    <row r="407" spans="7:178" x14ac:dyDescent="0.4">
      <c r="G407" s="36"/>
      <c r="FV407" s="24"/>
    </row>
    <row r="408" spans="7:178" x14ac:dyDescent="0.4">
      <c r="G408" s="36"/>
      <c r="FV408" s="24"/>
    </row>
    <row r="409" spans="7:178" x14ac:dyDescent="0.4">
      <c r="G409" s="36"/>
      <c r="FV409" s="24"/>
    </row>
    <row r="410" spans="7:178" x14ac:dyDescent="0.4">
      <c r="G410" s="36"/>
      <c r="FV410" s="24"/>
    </row>
    <row r="411" spans="7:178" x14ac:dyDescent="0.4">
      <c r="G411" s="36"/>
      <c r="FV411" s="24"/>
    </row>
    <row r="412" spans="7:178" x14ac:dyDescent="0.4">
      <c r="G412" s="36"/>
      <c r="FV412" s="24"/>
    </row>
    <row r="413" spans="7:178" x14ac:dyDescent="0.4">
      <c r="G413" s="36"/>
      <c r="FV413" s="24"/>
    </row>
    <row r="414" spans="7:178" x14ac:dyDescent="0.4">
      <c r="G414" s="36"/>
      <c r="FV414" s="24"/>
    </row>
    <row r="415" spans="7:178" x14ac:dyDescent="0.4">
      <c r="G415" s="36"/>
      <c r="FV415" s="24"/>
    </row>
    <row r="416" spans="7:178" x14ac:dyDescent="0.4">
      <c r="G416" s="36"/>
      <c r="FV416" s="24"/>
    </row>
    <row r="417" spans="7:178" x14ac:dyDescent="0.4">
      <c r="G417" s="36"/>
      <c r="FV417" s="24"/>
    </row>
    <row r="418" spans="7:178" x14ac:dyDescent="0.4">
      <c r="G418" s="36"/>
      <c r="FV418" s="24"/>
    </row>
    <row r="419" spans="7:178" x14ac:dyDescent="0.4">
      <c r="G419" s="36"/>
      <c r="FV419" s="24"/>
    </row>
    <row r="420" spans="7:178" x14ac:dyDescent="0.4">
      <c r="G420" s="36"/>
      <c r="FV420" s="24"/>
    </row>
    <row r="421" spans="7:178" x14ac:dyDescent="0.4">
      <c r="G421" s="36"/>
      <c r="FV421" s="24"/>
    </row>
    <row r="422" spans="7:178" x14ac:dyDescent="0.4">
      <c r="G422" s="36"/>
      <c r="FV422" s="24"/>
    </row>
    <row r="423" spans="7:178" x14ac:dyDescent="0.4">
      <c r="G423" s="36"/>
      <c r="FV423" s="24"/>
    </row>
    <row r="424" spans="7:178" x14ac:dyDescent="0.4">
      <c r="G424" s="36"/>
      <c r="FV424" s="24"/>
    </row>
    <row r="425" spans="7:178" x14ac:dyDescent="0.4">
      <c r="G425" s="36"/>
      <c r="FV425" s="24"/>
    </row>
    <row r="426" spans="7:178" x14ac:dyDescent="0.4">
      <c r="G426" s="36"/>
      <c r="FV426" s="24"/>
    </row>
    <row r="427" spans="7:178" x14ac:dyDescent="0.4">
      <c r="G427" s="36"/>
      <c r="FV427" s="24"/>
    </row>
    <row r="428" spans="7:178" x14ac:dyDescent="0.4">
      <c r="G428" s="36"/>
      <c r="FV428" s="24"/>
    </row>
    <row r="429" spans="7:178" x14ac:dyDescent="0.4">
      <c r="G429" s="36"/>
      <c r="FV429" s="24"/>
    </row>
    <row r="430" spans="7:178" x14ac:dyDescent="0.4">
      <c r="G430" s="36"/>
      <c r="FV430" s="24"/>
    </row>
    <row r="431" spans="7:178" x14ac:dyDescent="0.4">
      <c r="G431" s="36"/>
      <c r="FV431" s="24"/>
    </row>
    <row r="432" spans="7:178" x14ac:dyDescent="0.4">
      <c r="G432" s="36"/>
      <c r="FV432" s="24"/>
    </row>
    <row r="433" spans="7:178" x14ac:dyDescent="0.4">
      <c r="G433" s="36"/>
      <c r="FV433" s="24"/>
    </row>
    <row r="434" spans="7:178" x14ac:dyDescent="0.4">
      <c r="G434" s="36"/>
      <c r="FV434" s="24"/>
    </row>
    <row r="435" spans="7:178" x14ac:dyDescent="0.4">
      <c r="G435" s="36"/>
      <c r="FV435" s="24"/>
    </row>
    <row r="436" spans="7:178" x14ac:dyDescent="0.4">
      <c r="G436" s="36"/>
      <c r="FV436" s="24"/>
    </row>
    <row r="437" spans="7:178" x14ac:dyDescent="0.4">
      <c r="G437" s="36"/>
      <c r="FV437" s="24"/>
    </row>
    <row r="438" spans="7:178" x14ac:dyDescent="0.4">
      <c r="G438" s="36"/>
      <c r="FV438" s="24"/>
    </row>
    <row r="439" spans="7:178" x14ac:dyDescent="0.4">
      <c r="G439" s="36"/>
      <c r="FV439" s="24"/>
    </row>
    <row r="440" spans="7:178" x14ac:dyDescent="0.4">
      <c r="G440" s="36"/>
      <c r="FV440" s="24"/>
    </row>
    <row r="441" spans="7:178" x14ac:dyDescent="0.4">
      <c r="G441" s="36"/>
      <c r="FV441" s="24"/>
    </row>
    <row r="442" spans="7:178" x14ac:dyDescent="0.4">
      <c r="G442" s="36"/>
      <c r="FV442" s="24"/>
    </row>
    <row r="443" spans="7:178" x14ac:dyDescent="0.4">
      <c r="G443" s="36"/>
      <c r="FV443" s="24"/>
    </row>
    <row r="444" spans="7:178" x14ac:dyDescent="0.4">
      <c r="G444" s="36"/>
      <c r="FV444" s="24"/>
    </row>
    <row r="445" spans="7:178" x14ac:dyDescent="0.4">
      <c r="G445" s="36"/>
      <c r="FV445" s="24"/>
    </row>
    <row r="446" spans="7:178" x14ac:dyDescent="0.4">
      <c r="G446" s="36"/>
      <c r="FV446" s="24"/>
    </row>
    <row r="447" spans="7:178" x14ac:dyDescent="0.4">
      <c r="G447" s="36"/>
      <c r="FV447" s="24"/>
    </row>
    <row r="448" spans="7:178" x14ac:dyDescent="0.4">
      <c r="G448" s="36"/>
      <c r="FV448" s="24"/>
    </row>
    <row r="449" spans="7:178" x14ac:dyDescent="0.4">
      <c r="G449" s="36"/>
      <c r="FV449" s="24"/>
    </row>
    <row r="450" spans="7:178" x14ac:dyDescent="0.4">
      <c r="G450" s="36"/>
      <c r="FV450" s="24"/>
    </row>
    <row r="451" spans="7:178" x14ac:dyDescent="0.4">
      <c r="G451" s="36"/>
      <c r="FV451" s="24"/>
    </row>
    <row r="452" spans="7:178" x14ac:dyDescent="0.4">
      <c r="G452" s="36"/>
      <c r="FV452" s="24"/>
    </row>
    <row r="453" spans="7:178" x14ac:dyDescent="0.4">
      <c r="G453" s="36"/>
      <c r="FV453" s="24"/>
    </row>
    <row r="454" spans="7:178" x14ac:dyDescent="0.4">
      <c r="G454" s="36"/>
      <c r="FV454" s="24"/>
    </row>
    <row r="455" spans="7:178" x14ac:dyDescent="0.4">
      <c r="G455" s="36"/>
      <c r="FV455" s="24"/>
    </row>
    <row r="456" spans="7:178" x14ac:dyDescent="0.4">
      <c r="G456" s="36"/>
      <c r="FV456" s="24"/>
    </row>
    <row r="457" spans="7:178" x14ac:dyDescent="0.4">
      <c r="G457" s="36"/>
      <c r="FV457" s="24"/>
    </row>
    <row r="458" spans="7:178" x14ac:dyDescent="0.4">
      <c r="G458" s="36"/>
      <c r="FV458" s="24"/>
    </row>
    <row r="459" spans="7:178" x14ac:dyDescent="0.4">
      <c r="G459" s="36"/>
      <c r="FV459" s="24"/>
    </row>
    <row r="460" spans="7:178" x14ac:dyDescent="0.4">
      <c r="G460" s="36"/>
      <c r="FV460" s="24"/>
    </row>
    <row r="461" spans="7:178" x14ac:dyDescent="0.4">
      <c r="G461" s="36"/>
      <c r="FV461" s="24"/>
    </row>
    <row r="462" spans="7:178" x14ac:dyDescent="0.4">
      <c r="G462" s="36"/>
      <c r="FV462" s="24"/>
    </row>
    <row r="463" spans="7:178" x14ac:dyDescent="0.4">
      <c r="G463" s="36"/>
      <c r="FV463" s="24"/>
    </row>
    <row r="464" spans="7:178" x14ac:dyDescent="0.4">
      <c r="G464" s="36"/>
      <c r="FV464" s="24"/>
    </row>
    <row r="465" spans="7:178" x14ac:dyDescent="0.4">
      <c r="G465" s="36"/>
      <c r="FV465" s="24"/>
    </row>
    <row r="466" spans="7:178" x14ac:dyDescent="0.4">
      <c r="G466" s="36"/>
      <c r="FV466" s="24"/>
    </row>
    <row r="467" spans="7:178" x14ac:dyDescent="0.4">
      <c r="G467" s="36"/>
      <c r="FV467" s="24"/>
    </row>
    <row r="468" spans="7:178" x14ac:dyDescent="0.4">
      <c r="G468" s="36"/>
      <c r="FV468" s="24"/>
    </row>
    <row r="469" spans="7:178" x14ac:dyDescent="0.4">
      <c r="G469" s="36"/>
      <c r="FV469" s="24"/>
    </row>
    <row r="470" spans="7:178" x14ac:dyDescent="0.4">
      <c r="G470" s="36"/>
      <c r="FV470" s="24"/>
    </row>
    <row r="471" spans="7:178" x14ac:dyDescent="0.4">
      <c r="G471" s="36"/>
      <c r="FV471" s="24"/>
    </row>
    <row r="472" spans="7:178" x14ac:dyDescent="0.4">
      <c r="G472" s="36"/>
      <c r="FV472" s="24"/>
    </row>
    <row r="473" spans="7:178" x14ac:dyDescent="0.4">
      <c r="G473" s="36"/>
      <c r="FV473" s="24"/>
    </row>
    <row r="474" spans="7:178" x14ac:dyDescent="0.4">
      <c r="G474" s="36"/>
      <c r="FV474" s="24"/>
    </row>
    <row r="475" spans="7:178" x14ac:dyDescent="0.4">
      <c r="G475" s="36"/>
      <c r="FV475" s="24"/>
    </row>
    <row r="476" spans="7:178" x14ac:dyDescent="0.4">
      <c r="G476" s="36"/>
      <c r="FV476" s="24"/>
    </row>
    <row r="477" spans="7:178" x14ac:dyDescent="0.4">
      <c r="G477" s="36"/>
      <c r="FV477" s="24"/>
    </row>
    <row r="478" spans="7:178" x14ac:dyDescent="0.4">
      <c r="G478" s="36"/>
      <c r="FV478" s="24"/>
    </row>
    <row r="479" spans="7:178" x14ac:dyDescent="0.4">
      <c r="G479" s="36"/>
      <c r="FV479" s="24"/>
    </row>
    <row r="480" spans="7:178" x14ac:dyDescent="0.4">
      <c r="G480" s="36"/>
      <c r="FV480" s="24"/>
    </row>
    <row r="481" spans="7:178" x14ac:dyDescent="0.4">
      <c r="G481" s="36"/>
      <c r="FV481" s="24"/>
    </row>
    <row r="482" spans="7:178" x14ac:dyDescent="0.4">
      <c r="G482" s="36"/>
      <c r="FV482" s="24"/>
    </row>
    <row r="483" spans="7:178" x14ac:dyDescent="0.4">
      <c r="G483" s="36"/>
      <c r="FV483" s="24"/>
    </row>
    <row r="484" spans="7:178" x14ac:dyDescent="0.4">
      <c r="G484" s="36"/>
      <c r="FV484" s="24"/>
    </row>
    <row r="485" spans="7:178" x14ac:dyDescent="0.4">
      <c r="G485" s="36"/>
      <c r="FV485" s="24"/>
    </row>
    <row r="486" spans="7:178" x14ac:dyDescent="0.4">
      <c r="G486" s="36"/>
      <c r="FV486" s="24"/>
    </row>
    <row r="487" spans="7:178" x14ac:dyDescent="0.4">
      <c r="G487" s="36"/>
      <c r="FV487" s="24"/>
    </row>
    <row r="488" spans="7:178" x14ac:dyDescent="0.4">
      <c r="G488" s="36"/>
      <c r="FV488" s="24"/>
    </row>
    <row r="489" spans="7:178" x14ac:dyDescent="0.4">
      <c r="G489" s="36"/>
      <c r="FV489" s="24"/>
    </row>
    <row r="490" spans="7:178" x14ac:dyDescent="0.4">
      <c r="G490" s="36"/>
      <c r="FV490" s="24"/>
    </row>
    <row r="491" spans="7:178" x14ac:dyDescent="0.4">
      <c r="G491" s="36"/>
      <c r="FV491" s="24"/>
    </row>
    <row r="492" spans="7:178" x14ac:dyDescent="0.4">
      <c r="G492" s="36"/>
      <c r="FV492" s="24"/>
    </row>
    <row r="493" spans="7:178" x14ac:dyDescent="0.4">
      <c r="G493" s="36"/>
      <c r="FV493" s="24"/>
    </row>
    <row r="494" spans="7:178" x14ac:dyDescent="0.4">
      <c r="G494" s="36"/>
      <c r="FV494" s="24"/>
    </row>
    <row r="495" spans="7:178" x14ac:dyDescent="0.4">
      <c r="G495" s="36"/>
      <c r="FV495" s="24"/>
    </row>
    <row r="496" spans="7:178" x14ac:dyDescent="0.4">
      <c r="G496" s="36"/>
      <c r="FV496" s="24"/>
    </row>
    <row r="497" spans="7:178" x14ac:dyDescent="0.4">
      <c r="G497" s="36"/>
      <c r="FV497" s="24"/>
    </row>
    <row r="498" spans="7:178" x14ac:dyDescent="0.4">
      <c r="G498" s="36"/>
      <c r="FV498" s="24"/>
    </row>
    <row r="499" spans="7:178" x14ac:dyDescent="0.4">
      <c r="G499" s="36"/>
      <c r="FV499" s="24"/>
    </row>
    <row r="500" spans="7:178" x14ac:dyDescent="0.4">
      <c r="G500" s="36"/>
      <c r="FV500" s="24"/>
    </row>
    <row r="501" spans="7:178" x14ac:dyDescent="0.4">
      <c r="G501" s="36"/>
      <c r="FV501" s="24"/>
    </row>
    <row r="502" spans="7:178" x14ac:dyDescent="0.4">
      <c r="G502" s="36"/>
      <c r="FV502" s="24"/>
    </row>
    <row r="503" spans="7:178" x14ac:dyDescent="0.4">
      <c r="G503" s="36"/>
      <c r="FV503" s="24"/>
    </row>
    <row r="504" spans="7:178" x14ac:dyDescent="0.4">
      <c r="G504" s="36"/>
      <c r="FV504" s="24"/>
    </row>
    <row r="505" spans="7:178" x14ac:dyDescent="0.4">
      <c r="G505" s="36"/>
      <c r="FV505" s="24"/>
    </row>
    <row r="506" spans="7:178" x14ac:dyDescent="0.4">
      <c r="G506" s="36"/>
      <c r="FV506" s="24"/>
    </row>
    <row r="507" spans="7:178" x14ac:dyDescent="0.4">
      <c r="G507" s="36"/>
      <c r="FV507" s="24"/>
    </row>
    <row r="508" spans="7:178" x14ac:dyDescent="0.4">
      <c r="G508" s="36"/>
      <c r="FV508" s="24"/>
    </row>
    <row r="509" spans="7:178" x14ac:dyDescent="0.4">
      <c r="G509" s="36"/>
      <c r="FV509" s="24"/>
    </row>
    <row r="510" spans="7:178" x14ac:dyDescent="0.4">
      <c r="G510" s="36"/>
      <c r="FV510" s="24"/>
    </row>
    <row r="511" spans="7:178" x14ac:dyDescent="0.4">
      <c r="G511" s="36"/>
      <c r="FV511" s="24"/>
    </row>
    <row r="512" spans="7:178" x14ac:dyDescent="0.4">
      <c r="G512" s="36"/>
      <c r="FV512" s="24"/>
    </row>
    <row r="513" spans="7:178" x14ac:dyDescent="0.4">
      <c r="G513" s="36"/>
      <c r="FV513" s="24"/>
    </row>
    <row r="514" spans="7:178" x14ac:dyDescent="0.4">
      <c r="G514" s="36"/>
      <c r="FV514" s="24"/>
    </row>
    <row r="515" spans="7:178" x14ac:dyDescent="0.4">
      <c r="G515" s="36"/>
      <c r="FV515" s="24"/>
    </row>
    <row r="516" spans="7:178" x14ac:dyDescent="0.4">
      <c r="G516" s="36"/>
      <c r="FV516" s="24"/>
    </row>
    <row r="517" spans="7:178" x14ac:dyDescent="0.4">
      <c r="G517" s="36"/>
      <c r="FV517" s="24"/>
    </row>
    <row r="518" spans="7:178" x14ac:dyDescent="0.4">
      <c r="G518" s="36"/>
      <c r="FV518" s="24"/>
    </row>
    <row r="519" spans="7:178" x14ac:dyDescent="0.4">
      <c r="G519" s="36"/>
      <c r="FV519" s="24"/>
    </row>
    <row r="520" spans="7:178" x14ac:dyDescent="0.4">
      <c r="G520" s="36"/>
      <c r="FV520" s="24"/>
    </row>
    <row r="521" spans="7:178" x14ac:dyDescent="0.4">
      <c r="G521" s="36"/>
      <c r="FV521" s="24"/>
    </row>
    <row r="522" spans="7:178" x14ac:dyDescent="0.4">
      <c r="G522" s="36"/>
      <c r="FV522" s="24"/>
    </row>
    <row r="523" spans="7:178" x14ac:dyDescent="0.4">
      <c r="G523" s="36"/>
      <c r="FV523" s="24"/>
    </row>
    <row r="524" spans="7:178" x14ac:dyDescent="0.4">
      <c r="G524" s="36"/>
      <c r="FV524" s="24"/>
    </row>
    <row r="525" spans="7:178" x14ac:dyDescent="0.4">
      <c r="G525" s="36"/>
      <c r="FV525" s="24"/>
    </row>
    <row r="526" spans="7:178" x14ac:dyDescent="0.4">
      <c r="G526" s="36"/>
      <c r="FV526" s="24"/>
    </row>
    <row r="527" spans="7:178" x14ac:dyDescent="0.4">
      <c r="G527" s="36"/>
      <c r="FV527" s="24"/>
    </row>
    <row r="528" spans="7:178" x14ac:dyDescent="0.4">
      <c r="G528" s="36"/>
      <c r="FV528" s="24"/>
    </row>
    <row r="529" spans="7:178" x14ac:dyDescent="0.4">
      <c r="G529" s="36"/>
      <c r="FV529" s="24"/>
    </row>
    <row r="530" spans="7:178" x14ac:dyDescent="0.4">
      <c r="G530" s="36"/>
      <c r="FV530" s="24"/>
    </row>
    <row r="531" spans="7:178" x14ac:dyDescent="0.4">
      <c r="G531" s="36"/>
      <c r="FV531" s="24"/>
    </row>
    <row r="532" spans="7:178" x14ac:dyDescent="0.4">
      <c r="G532" s="36"/>
      <c r="FV532" s="24"/>
    </row>
    <row r="533" spans="7:178" x14ac:dyDescent="0.4">
      <c r="G533" s="36"/>
      <c r="FV533" s="24"/>
    </row>
    <row r="534" spans="7:178" x14ac:dyDescent="0.4">
      <c r="G534" s="36"/>
      <c r="FV534" s="24"/>
    </row>
    <row r="535" spans="7:178" x14ac:dyDescent="0.4">
      <c r="G535" s="36"/>
      <c r="FV535" s="24"/>
    </row>
    <row r="536" spans="7:178" x14ac:dyDescent="0.4">
      <c r="G536" s="36"/>
      <c r="FV536" s="24"/>
    </row>
    <row r="537" spans="7:178" x14ac:dyDescent="0.4">
      <c r="G537" s="36"/>
      <c r="FV537" s="24"/>
    </row>
    <row r="538" spans="7:178" x14ac:dyDescent="0.4">
      <c r="G538" s="36"/>
      <c r="FV538" s="24"/>
    </row>
    <row r="539" spans="7:178" x14ac:dyDescent="0.4">
      <c r="G539" s="36"/>
      <c r="FV539" s="24"/>
    </row>
    <row r="540" spans="7:178" x14ac:dyDescent="0.4">
      <c r="G540" s="36"/>
      <c r="FV540" s="24"/>
    </row>
    <row r="541" spans="7:178" x14ac:dyDescent="0.4">
      <c r="G541" s="36"/>
      <c r="FV541" s="24"/>
    </row>
    <row r="542" spans="7:178" x14ac:dyDescent="0.4">
      <c r="G542" s="36"/>
      <c r="FV542" s="24"/>
    </row>
    <row r="543" spans="7:178" x14ac:dyDescent="0.4">
      <c r="G543" s="36"/>
      <c r="FV543" s="24"/>
    </row>
    <row r="544" spans="7:178" x14ac:dyDescent="0.4">
      <c r="G544" s="36"/>
      <c r="FV544" s="24"/>
    </row>
    <row r="545" spans="7:178" x14ac:dyDescent="0.4">
      <c r="G545" s="36"/>
      <c r="FV545" s="24"/>
    </row>
    <row r="546" spans="7:178" x14ac:dyDescent="0.4">
      <c r="G546" s="36"/>
      <c r="FV546" s="24"/>
    </row>
    <row r="547" spans="7:178" x14ac:dyDescent="0.4">
      <c r="G547" s="36"/>
      <c r="FV547" s="24"/>
    </row>
    <row r="548" spans="7:178" x14ac:dyDescent="0.4">
      <c r="G548" s="36"/>
      <c r="FV548" s="24"/>
    </row>
    <row r="549" spans="7:178" x14ac:dyDescent="0.4">
      <c r="G549" s="36"/>
      <c r="FV549" s="24"/>
    </row>
    <row r="550" spans="7:178" x14ac:dyDescent="0.4">
      <c r="G550" s="36"/>
      <c r="FV550" s="24"/>
    </row>
    <row r="551" spans="7:178" x14ac:dyDescent="0.4">
      <c r="G551" s="36"/>
      <c r="FV551" s="24"/>
    </row>
    <row r="552" spans="7:178" x14ac:dyDescent="0.4">
      <c r="G552" s="36"/>
      <c r="FV552" s="24"/>
    </row>
    <row r="553" spans="7:178" x14ac:dyDescent="0.4">
      <c r="G553" s="36"/>
      <c r="FV553" s="24"/>
    </row>
    <row r="554" spans="7:178" x14ac:dyDescent="0.4">
      <c r="G554" s="36"/>
      <c r="FV554" s="24"/>
    </row>
    <row r="555" spans="7:178" x14ac:dyDescent="0.4">
      <c r="G555" s="36"/>
      <c r="FV555" s="24"/>
    </row>
    <row r="556" spans="7:178" x14ac:dyDescent="0.4">
      <c r="G556" s="36"/>
      <c r="FV556" s="24"/>
    </row>
    <row r="557" spans="7:178" x14ac:dyDescent="0.4">
      <c r="G557" s="36"/>
      <c r="FV557" s="24"/>
    </row>
    <row r="558" spans="7:178" x14ac:dyDescent="0.4">
      <c r="G558" s="36"/>
      <c r="FV558" s="24"/>
    </row>
    <row r="559" spans="7:178" x14ac:dyDescent="0.4">
      <c r="G559" s="36"/>
      <c r="FV559" s="24"/>
    </row>
    <row r="560" spans="7:178" x14ac:dyDescent="0.4">
      <c r="FV560" s="24"/>
    </row>
    <row r="561" spans="7:178" x14ac:dyDescent="0.4">
      <c r="G561" s="36"/>
      <c r="FV561" s="24"/>
    </row>
    <row r="562" spans="7:178" x14ac:dyDescent="0.4">
      <c r="G562" s="36"/>
      <c r="FV562" s="24"/>
    </row>
    <row r="563" spans="7:178" x14ac:dyDescent="0.4">
      <c r="G563" s="36"/>
      <c r="FV563" s="24"/>
    </row>
    <row r="564" spans="7:178" x14ac:dyDescent="0.4">
      <c r="G564" s="36"/>
      <c r="FV564" s="24"/>
    </row>
    <row r="565" spans="7:178" x14ac:dyDescent="0.4">
      <c r="G565" s="36"/>
      <c r="FV565" s="24"/>
    </row>
    <row r="566" spans="7:178" x14ac:dyDescent="0.4">
      <c r="G566" s="36"/>
      <c r="FV566" s="24"/>
    </row>
    <row r="567" spans="7:178" x14ac:dyDescent="0.4">
      <c r="G567" s="36"/>
      <c r="FV567" s="24"/>
    </row>
    <row r="568" spans="7:178" x14ac:dyDescent="0.4">
      <c r="G568" s="36"/>
      <c r="FV568" s="24"/>
    </row>
    <row r="569" spans="7:178" x14ac:dyDescent="0.4">
      <c r="G569" s="36"/>
      <c r="FV569" s="24"/>
    </row>
    <row r="570" spans="7:178" x14ac:dyDescent="0.4">
      <c r="G570" s="36"/>
      <c r="FV570" s="24"/>
    </row>
    <row r="571" spans="7:178" x14ac:dyDescent="0.4">
      <c r="G571" s="36"/>
      <c r="FV571" s="24"/>
    </row>
    <row r="572" spans="7:178" x14ac:dyDescent="0.4">
      <c r="G572" s="36"/>
      <c r="FV572" s="24"/>
    </row>
    <row r="573" spans="7:178" x14ac:dyDescent="0.4">
      <c r="G573" s="36"/>
      <c r="FV573" s="24"/>
    </row>
    <row r="574" spans="7:178" x14ac:dyDescent="0.4">
      <c r="G574" s="36"/>
      <c r="FV574" s="24"/>
    </row>
    <row r="575" spans="7:178" x14ac:dyDescent="0.4">
      <c r="G575" s="36"/>
      <c r="FV575" s="24"/>
    </row>
    <row r="576" spans="7:178" x14ac:dyDescent="0.4">
      <c r="G576" s="36"/>
      <c r="FV576" s="24"/>
    </row>
    <row r="577" spans="7:178" x14ac:dyDescent="0.4">
      <c r="G577" s="36"/>
      <c r="FV577" s="24"/>
    </row>
    <row r="578" spans="7:178" x14ac:dyDescent="0.4">
      <c r="G578" s="36"/>
      <c r="FV578" s="24"/>
    </row>
    <row r="579" spans="7:178" x14ac:dyDescent="0.4">
      <c r="G579" s="36"/>
      <c r="FV579" s="24"/>
    </row>
    <row r="580" spans="7:178" x14ac:dyDescent="0.4">
      <c r="G580" s="36"/>
      <c r="FV580" s="24"/>
    </row>
    <row r="581" spans="7:178" x14ac:dyDescent="0.4">
      <c r="G581" s="36"/>
      <c r="FV581" s="24"/>
    </row>
    <row r="582" spans="7:178" x14ac:dyDescent="0.4">
      <c r="G582" s="36"/>
      <c r="FV582" s="24"/>
    </row>
    <row r="583" spans="7:178" x14ac:dyDescent="0.4">
      <c r="G583" s="36"/>
      <c r="FV583" s="24"/>
    </row>
    <row r="584" spans="7:178" x14ac:dyDescent="0.4">
      <c r="G584" s="36"/>
      <c r="FV584" s="24"/>
    </row>
    <row r="585" spans="7:178" x14ac:dyDescent="0.4">
      <c r="G585" s="36"/>
      <c r="FV585" s="24"/>
    </row>
    <row r="586" spans="7:178" x14ac:dyDescent="0.4">
      <c r="G586" s="36"/>
      <c r="FV586" s="24"/>
    </row>
    <row r="587" spans="7:178" x14ac:dyDescent="0.4">
      <c r="G587" s="36"/>
      <c r="FV587" s="24"/>
    </row>
    <row r="588" spans="7:178" x14ac:dyDescent="0.4">
      <c r="G588" s="36"/>
      <c r="FV588" s="24"/>
    </row>
    <row r="589" spans="7:178" x14ac:dyDescent="0.4">
      <c r="G589" s="36"/>
      <c r="DS589" s="31"/>
      <c r="ER589" s="31"/>
      <c r="FV589" s="24"/>
    </row>
    <row r="590" spans="7:178" x14ac:dyDescent="0.4">
      <c r="G590" s="36"/>
      <c r="FV590" s="24"/>
    </row>
    <row r="591" spans="7:178" x14ac:dyDescent="0.4">
      <c r="G591" s="36"/>
      <c r="FV591" s="24"/>
    </row>
    <row r="592" spans="7:178" x14ac:dyDescent="0.4">
      <c r="G592" s="36"/>
      <c r="FV592" s="24"/>
    </row>
    <row r="593" spans="7:178" x14ac:dyDescent="0.4">
      <c r="G593" s="36"/>
      <c r="FV593" s="24"/>
    </row>
    <row r="594" spans="7:178" x14ac:dyDescent="0.4">
      <c r="G594" s="36"/>
      <c r="FV594" s="24"/>
    </row>
    <row r="595" spans="7:178" x14ac:dyDescent="0.4">
      <c r="G595" s="36"/>
      <c r="FV595" s="24"/>
    </row>
    <row r="596" spans="7:178" x14ac:dyDescent="0.4">
      <c r="G596" s="36"/>
      <c r="FV596" s="24"/>
    </row>
    <row r="597" spans="7:178" x14ac:dyDescent="0.4">
      <c r="G597" s="36"/>
      <c r="FV597" s="24"/>
    </row>
    <row r="598" spans="7:178" x14ac:dyDescent="0.4">
      <c r="G598" s="36"/>
      <c r="FV598" s="24"/>
    </row>
    <row r="599" spans="7:178" x14ac:dyDescent="0.4">
      <c r="G599" s="36"/>
      <c r="FV599" s="24"/>
    </row>
    <row r="600" spans="7:178" x14ac:dyDescent="0.4">
      <c r="G600" s="36"/>
      <c r="FV600" s="24"/>
    </row>
    <row r="601" spans="7:178" x14ac:dyDescent="0.4">
      <c r="G601" s="36"/>
      <c r="FV601" s="24"/>
    </row>
    <row r="602" spans="7:178" x14ac:dyDescent="0.4">
      <c r="G602" s="36"/>
      <c r="FV602" s="24"/>
    </row>
    <row r="603" spans="7:178" x14ac:dyDescent="0.4">
      <c r="G603" s="36"/>
      <c r="FV603" s="24"/>
    </row>
    <row r="604" spans="7:178" x14ac:dyDescent="0.4">
      <c r="G604" s="36"/>
      <c r="FV604" s="24"/>
    </row>
    <row r="605" spans="7:178" x14ac:dyDescent="0.4">
      <c r="G605" s="36"/>
      <c r="FV605" s="24"/>
    </row>
    <row r="606" spans="7:178" x14ac:dyDescent="0.4">
      <c r="G606" s="36"/>
      <c r="FV606" s="24"/>
    </row>
    <row r="607" spans="7:178" x14ac:dyDescent="0.4">
      <c r="G607" s="36"/>
      <c r="FV607" s="24"/>
    </row>
    <row r="608" spans="7:178" x14ac:dyDescent="0.4">
      <c r="G608" s="36"/>
      <c r="FV608" s="24"/>
    </row>
    <row r="609" spans="7:178" x14ac:dyDescent="0.4">
      <c r="G609" s="36"/>
      <c r="FV609" s="24"/>
    </row>
    <row r="610" spans="7:178" x14ac:dyDescent="0.4">
      <c r="G610" s="36"/>
      <c r="FV610" s="24"/>
    </row>
    <row r="611" spans="7:178" x14ac:dyDescent="0.4">
      <c r="G611" s="36"/>
      <c r="FV611" s="24"/>
    </row>
    <row r="612" spans="7:178" x14ac:dyDescent="0.4">
      <c r="G612" s="36"/>
      <c r="FV612" s="24"/>
    </row>
    <row r="613" spans="7:178" x14ac:dyDescent="0.4">
      <c r="G613" s="36"/>
      <c r="FV613" s="24"/>
    </row>
    <row r="614" spans="7:178" x14ac:dyDescent="0.4">
      <c r="G614" s="36"/>
      <c r="FV614" s="24"/>
    </row>
    <row r="615" spans="7:178" x14ac:dyDescent="0.4">
      <c r="G615" s="36"/>
      <c r="FV615" s="24"/>
    </row>
    <row r="616" spans="7:178" x14ac:dyDescent="0.4">
      <c r="G616" s="36"/>
      <c r="FV616" s="24"/>
    </row>
    <row r="617" spans="7:178" x14ac:dyDescent="0.4">
      <c r="G617" s="36"/>
      <c r="FV617" s="24"/>
    </row>
    <row r="618" spans="7:178" x14ac:dyDescent="0.4">
      <c r="G618" s="36"/>
      <c r="FV618" s="24"/>
    </row>
    <row r="619" spans="7:178" x14ac:dyDescent="0.4">
      <c r="G619" s="36"/>
      <c r="FV619" s="24"/>
    </row>
    <row r="620" spans="7:178" x14ac:dyDescent="0.4">
      <c r="G620" s="36"/>
      <c r="FV620" s="24"/>
    </row>
    <row r="621" spans="7:178" x14ac:dyDescent="0.4">
      <c r="G621" s="36"/>
      <c r="FV621" s="24"/>
    </row>
    <row r="622" spans="7:178" x14ac:dyDescent="0.4">
      <c r="G622" s="36"/>
      <c r="FV622" s="24"/>
    </row>
    <row r="623" spans="7:178" x14ac:dyDescent="0.4">
      <c r="G623" s="36"/>
      <c r="FV623" s="24"/>
    </row>
    <row r="624" spans="7:178" x14ac:dyDescent="0.4">
      <c r="G624" s="36"/>
      <c r="FV624" s="24"/>
    </row>
    <row r="625" spans="7:178" x14ac:dyDescent="0.4">
      <c r="G625" s="36"/>
      <c r="FV625" s="24"/>
    </row>
    <row r="626" spans="7:178" x14ac:dyDescent="0.4">
      <c r="G626" s="36"/>
      <c r="FV626" s="24"/>
    </row>
    <row r="627" spans="7:178" x14ac:dyDescent="0.4">
      <c r="G627" s="36"/>
      <c r="FV627" s="24"/>
    </row>
    <row r="628" spans="7:178" x14ac:dyDescent="0.4">
      <c r="G628" s="36"/>
      <c r="FV628" s="24"/>
    </row>
    <row r="629" spans="7:178" x14ac:dyDescent="0.4">
      <c r="G629" s="36"/>
      <c r="FV629" s="24"/>
    </row>
    <row r="630" spans="7:178" x14ac:dyDescent="0.4">
      <c r="G630" s="36"/>
      <c r="FV630" s="24"/>
    </row>
    <row r="631" spans="7:178" x14ac:dyDescent="0.4">
      <c r="G631" s="36"/>
      <c r="FV631" s="24"/>
    </row>
    <row r="632" spans="7:178" x14ac:dyDescent="0.4">
      <c r="G632" s="36"/>
      <c r="FV632" s="24"/>
    </row>
    <row r="633" spans="7:178" x14ac:dyDescent="0.4">
      <c r="G633" s="36"/>
      <c r="FV633" s="24"/>
    </row>
    <row r="634" spans="7:178" x14ac:dyDescent="0.4">
      <c r="G634" s="36"/>
      <c r="FV634" s="24"/>
    </row>
    <row r="635" spans="7:178" x14ac:dyDescent="0.4">
      <c r="G635" s="36"/>
      <c r="FV635" s="24"/>
    </row>
    <row r="636" spans="7:178" x14ac:dyDescent="0.4">
      <c r="G636" s="36"/>
      <c r="FV636" s="24"/>
    </row>
    <row r="637" spans="7:178" x14ac:dyDescent="0.4">
      <c r="G637" s="36"/>
      <c r="FV637" s="24"/>
    </row>
    <row r="638" spans="7:178" x14ac:dyDescent="0.4">
      <c r="G638" s="36"/>
      <c r="FV638" s="24"/>
    </row>
    <row r="639" spans="7:178" x14ac:dyDescent="0.4">
      <c r="G639" s="36"/>
      <c r="FV639" s="24"/>
    </row>
    <row r="640" spans="7:178" x14ac:dyDescent="0.4">
      <c r="G640" s="36"/>
      <c r="FV640" s="24"/>
    </row>
    <row r="641" spans="7:178" x14ac:dyDescent="0.4">
      <c r="G641" s="36"/>
      <c r="FV641" s="24"/>
    </row>
    <row r="642" spans="7:178" x14ac:dyDescent="0.4">
      <c r="G642" s="36"/>
      <c r="FV642" s="24"/>
    </row>
    <row r="643" spans="7:178" x14ac:dyDescent="0.4">
      <c r="G643" s="36"/>
      <c r="FV643" s="24"/>
    </row>
    <row r="644" spans="7:178" x14ac:dyDescent="0.4">
      <c r="G644" s="36"/>
      <c r="FV644" s="24"/>
    </row>
    <row r="645" spans="7:178" x14ac:dyDescent="0.4">
      <c r="G645" s="36"/>
      <c r="FV645" s="24"/>
    </row>
    <row r="646" spans="7:178" x14ac:dyDescent="0.4">
      <c r="G646" s="36"/>
      <c r="FV646" s="24"/>
    </row>
    <row r="647" spans="7:178" x14ac:dyDescent="0.4">
      <c r="G647" s="36"/>
      <c r="FV647" s="24"/>
    </row>
    <row r="648" spans="7:178" x14ac:dyDescent="0.4">
      <c r="G648" s="36"/>
      <c r="FV648" s="24"/>
    </row>
    <row r="649" spans="7:178" x14ac:dyDescent="0.4">
      <c r="G649" s="36"/>
      <c r="FV649" s="24"/>
    </row>
    <row r="650" spans="7:178" x14ac:dyDescent="0.4">
      <c r="G650" s="36"/>
      <c r="FV650" s="24"/>
    </row>
    <row r="651" spans="7:178" x14ac:dyDescent="0.4">
      <c r="G651" s="36"/>
      <c r="FV651" s="24"/>
    </row>
    <row r="652" spans="7:178" x14ac:dyDescent="0.4">
      <c r="G652" s="36"/>
      <c r="FV652" s="24"/>
    </row>
    <row r="653" spans="7:178" x14ac:dyDescent="0.4">
      <c r="G653" s="36"/>
      <c r="FV653" s="24"/>
    </row>
    <row r="654" spans="7:178" x14ac:dyDescent="0.4">
      <c r="G654" s="36"/>
      <c r="FV654" s="24"/>
    </row>
    <row r="655" spans="7:178" x14ac:dyDescent="0.4">
      <c r="G655" s="36"/>
      <c r="FV655" s="24"/>
    </row>
    <row r="656" spans="7:178" x14ac:dyDescent="0.4">
      <c r="G656" s="36"/>
      <c r="FV656" s="24"/>
    </row>
    <row r="657" spans="7:178" x14ac:dyDescent="0.4">
      <c r="G657" s="36"/>
      <c r="FV657" s="24"/>
    </row>
    <row r="658" spans="7:178" x14ac:dyDescent="0.4">
      <c r="G658" s="36"/>
      <c r="FV658" s="24"/>
    </row>
    <row r="659" spans="7:178" x14ac:dyDescent="0.4">
      <c r="G659" s="36"/>
      <c r="FV659" s="24"/>
    </row>
    <row r="660" spans="7:178" x14ac:dyDescent="0.4">
      <c r="G660" s="36"/>
      <c r="FV660" s="24"/>
    </row>
    <row r="661" spans="7:178" x14ac:dyDescent="0.4">
      <c r="G661" s="36"/>
      <c r="FV661" s="24"/>
    </row>
    <row r="662" spans="7:178" x14ac:dyDescent="0.4">
      <c r="G662" s="36"/>
      <c r="FV662" s="24"/>
    </row>
    <row r="663" spans="7:178" x14ac:dyDescent="0.4">
      <c r="G663" s="36"/>
      <c r="FV663" s="24"/>
    </row>
    <row r="664" spans="7:178" x14ac:dyDescent="0.4">
      <c r="G664" s="36"/>
      <c r="FV664" s="24"/>
    </row>
    <row r="665" spans="7:178" x14ac:dyDescent="0.4">
      <c r="G665" s="36"/>
      <c r="FV665" s="24"/>
    </row>
    <row r="666" spans="7:178" x14ac:dyDescent="0.4">
      <c r="G666" s="36"/>
      <c r="FV666" s="24"/>
    </row>
    <row r="667" spans="7:178" x14ac:dyDescent="0.4">
      <c r="G667" s="36"/>
      <c r="FV667" s="24"/>
    </row>
    <row r="668" spans="7:178" x14ac:dyDescent="0.4">
      <c r="G668" s="36"/>
      <c r="FV668" s="24"/>
    </row>
    <row r="669" spans="7:178" x14ac:dyDescent="0.4">
      <c r="G669" s="36"/>
      <c r="FV669" s="24"/>
    </row>
    <row r="670" spans="7:178" x14ac:dyDescent="0.4">
      <c r="G670" s="36"/>
      <c r="FV670" s="24"/>
    </row>
    <row r="671" spans="7:178" x14ac:dyDescent="0.4">
      <c r="G671" s="36"/>
      <c r="FV671" s="24"/>
    </row>
    <row r="672" spans="7:178" x14ac:dyDescent="0.4">
      <c r="G672" s="36"/>
      <c r="FV672" s="24"/>
    </row>
    <row r="673" spans="7:178" x14ac:dyDescent="0.4">
      <c r="G673" s="36"/>
      <c r="FV673" s="24"/>
    </row>
    <row r="674" spans="7:178" x14ac:dyDescent="0.4">
      <c r="G674" s="36"/>
      <c r="FV674" s="24"/>
    </row>
    <row r="675" spans="7:178" x14ac:dyDescent="0.4">
      <c r="G675" s="36"/>
      <c r="FV675" s="24"/>
    </row>
    <row r="676" spans="7:178" x14ac:dyDescent="0.4">
      <c r="G676" s="36"/>
      <c r="FV676" s="24"/>
    </row>
    <row r="677" spans="7:178" x14ac:dyDescent="0.4">
      <c r="G677" s="36"/>
      <c r="FV677" s="24"/>
    </row>
    <row r="678" spans="7:178" x14ac:dyDescent="0.4">
      <c r="G678" s="36"/>
      <c r="FV678" s="24"/>
    </row>
    <row r="679" spans="7:178" x14ac:dyDescent="0.4">
      <c r="G679" s="36"/>
      <c r="FV679" s="24"/>
    </row>
    <row r="680" spans="7:178" x14ac:dyDescent="0.4">
      <c r="G680" s="36"/>
      <c r="FV680" s="24"/>
    </row>
    <row r="681" spans="7:178" x14ac:dyDescent="0.4">
      <c r="G681" s="36"/>
      <c r="FV681" s="24"/>
    </row>
    <row r="682" spans="7:178" x14ac:dyDescent="0.4">
      <c r="G682" s="36"/>
      <c r="FV682" s="24"/>
    </row>
    <row r="683" spans="7:178" x14ac:dyDescent="0.4">
      <c r="G683" s="36"/>
      <c r="FV683" s="24"/>
    </row>
    <row r="684" spans="7:178" x14ac:dyDescent="0.4">
      <c r="G684" s="36"/>
      <c r="FV684" s="24"/>
    </row>
    <row r="685" spans="7:178" x14ac:dyDescent="0.4">
      <c r="G685" s="36"/>
      <c r="FV685" s="24"/>
    </row>
    <row r="686" spans="7:178" x14ac:dyDescent="0.4">
      <c r="G686" s="36"/>
      <c r="FV686" s="24"/>
    </row>
    <row r="687" spans="7:178" x14ac:dyDescent="0.4">
      <c r="G687" s="36"/>
      <c r="FV687" s="24"/>
    </row>
    <row r="688" spans="7:178" x14ac:dyDescent="0.4">
      <c r="G688" s="36"/>
      <c r="FV688" s="24"/>
    </row>
    <row r="689" spans="7:178" x14ac:dyDescent="0.4">
      <c r="G689" s="36"/>
      <c r="FV689" s="24"/>
    </row>
    <row r="690" spans="7:178" x14ac:dyDescent="0.4">
      <c r="G690" s="36"/>
      <c r="FV690" s="24"/>
    </row>
    <row r="691" spans="7:178" x14ac:dyDescent="0.4">
      <c r="G691" s="36"/>
      <c r="FV691" s="24"/>
    </row>
    <row r="692" spans="7:178" x14ac:dyDescent="0.4">
      <c r="G692" s="36"/>
      <c r="FV692" s="24"/>
    </row>
    <row r="693" spans="7:178" x14ac:dyDescent="0.4">
      <c r="G693" s="36"/>
      <c r="FV693" s="24"/>
    </row>
    <row r="694" spans="7:178" x14ac:dyDescent="0.4">
      <c r="G694" s="36"/>
      <c r="FV694" s="24"/>
    </row>
    <row r="695" spans="7:178" x14ac:dyDescent="0.4">
      <c r="G695" s="36"/>
      <c r="FV695" s="24"/>
    </row>
    <row r="696" spans="7:178" x14ac:dyDescent="0.4">
      <c r="G696" s="36"/>
      <c r="FV696" s="24"/>
    </row>
    <row r="697" spans="7:178" x14ac:dyDescent="0.4">
      <c r="G697" s="36"/>
      <c r="FV697" s="24"/>
    </row>
    <row r="698" spans="7:178" x14ac:dyDescent="0.4">
      <c r="G698" s="36"/>
      <c r="FV698" s="24"/>
    </row>
    <row r="699" spans="7:178" x14ac:dyDescent="0.4">
      <c r="G699" s="36"/>
      <c r="FV699" s="24"/>
    </row>
    <row r="700" spans="7:178" x14ac:dyDescent="0.4">
      <c r="G700" s="36"/>
      <c r="FV700" s="24"/>
    </row>
    <row r="701" spans="7:178" x14ac:dyDescent="0.4">
      <c r="G701" s="36"/>
      <c r="FV701" s="24"/>
    </row>
    <row r="702" spans="7:178" x14ac:dyDescent="0.4">
      <c r="G702" s="36"/>
      <c r="FV702" s="24"/>
    </row>
    <row r="703" spans="7:178" x14ac:dyDescent="0.4">
      <c r="G703" s="36"/>
      <c r="FV703" s="24"/>
    </row>
    <row r="704" spans="7:178" x14ac:dyDescent="0.4">
      <c r="G704" s="36"/>
      <c r="FV704" s="24"/>
    </row>
    <row r="705" spans="7:178" x14ac:dyDescent="0.4">
      <c r="G705" s="36"/>
      <c r="FV705" s="24"/>
    </row>
    <row r="706" spans="7:178" x14ac:dyDescent="0.4">
      <c r="G706" s="36"/>
      <c r="FV706" s="24"/>
    </row>
    <row r="707" spans="7:178" x14ac:dyDescent="0.4">
      <c r="G707" s="36"/>
      <c r="FV707" s="24"/>
    </row>
    <row r="708" spans="7:178" x14ac:dyDescent="0.4">
      <c r="G708" s="36"/>
      <c r="FV708" s="24"/>
    </row>
    <row r="709" spans="7:178" x14ac:dyDescent="0.4">
      <c r="G709" s="36"/>
      <c r="FV709" s="24"/>
    </row>
    <row r="710" spans="7:178" x14ac:dyDescent="0.4">
      <c r="G710" s="36"/>
      <c r="FV710" s="24"/>
    </row>
    <row r="711" spans="7:178" x14ac:dyDescent="0.4">
      <c r="G711" s="36"/>
      <c r="FV711" s="24"/>
    </row>
    <row r="712" spans="7:178" x14ac:dyDescent="0.4">
      <c r="G712" s="36"/>
      <c r="FV712" s="24"/>
    </row>
    <row r="713" spans="7:178" x14ac:dyDescent="0.4">
      <c r="G713" s="36"/>
      <c r="FV713" s="24"/>
    </row>
    <row r="714" spans="7:178" x14ac:dyDescent="0.4">
      <c r="G714" s="36"/>
      <c r="FV714" s="24"/>
    </row>
    <row r="715" spans="7:178" x14ac:dyDescent="0.4">
      <c r="G715" s="36"/>
      <c r="FV715" s="24"/>
    </row>
    <row r="716" spans="7:178" x14ac:dyDescent="0.4">
      <c r="G716" s="36"/>
      <c r="FV716" s="24"/>
    </row>
    <row r="717" spans="7:178" x14ac:dyDescent="0.4">
      <c r="G717" s="36"/>
      <c r="FV717" s="24"/>
    </row>
    <row r="718" spans="7:178" x14ac:dyDescent="0.4">
      <c r="G718" s="36"/>
      <c r="FV718" s="24"/>
    </row>
    <row r="719" spans="7:178" x14ac:dyDescent="0.4">
      <c r="G719" s="36"/>
      <c r="FV719" s="24"/>
    </row>
    <row r="720" spans="7:178" x14ac:dyDescent="0.4">
      <c r="G720" s="36"/>
      <c r="FV720" s="24"/>
    </row>
    <row r="721" spans="7:178" x14ac:dyDescent="0.4">
      <c r="G721" s="36"/>
      <c r="FV721" s="24"/>
    </row>
    <row r="722" spans="7:178" x14ac:dyDescent="0.4">
      <c r="G722" s="36"/>
      <c r="FV722" s="24"/>
    </row>
    <row r="723" spans="7:178" x14ac:dyDescent="0.4">
      <c r="G723" s="36"/>
      <c r="FV723" s="24"/>
    </row>
    <row r="724" spans="7:178" x14ac:dyDescent="0.4">
      <c r="G724" s="36"/>
      <c r="FV724" s="24"/>
    </row>
    <row r="725" spans="7:178" x14ac:dyDescent="0.4">
      <c r="G725" s="36"/>
      <c r="FV725" s="24"/>
    </row>
    <row r="726" spans="7:178" x14ac:dyDescent="0.4">
      <c r="G726" s="36"/>
      <c r="FV726" s="24"/>
    </row>
    <row r="727" spans="7:178" x14ac:dyDescent="0.4">
      <c r="G727" s="36"/>
      <c r="FV727" s="24"/>
    </row>
    <row r="728" spans="7:178" x14ac:dyDescent="0.4">
      <c r="G728" s="36"/>
      <c r="FV728" s="24"/>
    </row>
    <row r="729" spans="7:178" x14ac:dyDescent="0.4">
      <c r="G729" s="36"/>
      <c r="FV729" s="24"/>
    </row>
    <row r="730" spans="7:178" x14ac:dyDescent="0.4">
      <c r="G730" s="36"/>
      <c r="FV730" s="24"/>
    </row>
    <row r="731" spans="7:178" x14ac:dyDescent="0.4">
      <c r="G731" s="36"/>
      <c r="FV731" s="24"/>
    </row>
    <row r="732" spans="7:178" x14ac:dyDescent="0.4">
      <c r="G732" s="36"/>
      <c r="FV732" s="24"/>
    </row>
    <row r="733" spans="7:178" x14ac:dyDescent="0.4">
      <c r="G733" s="36"/>
      <c r="FV733" s="24"/>
    </row>
    <row r="734" spans="7:178" x14ac:dyDescent="0.4">
      <c r="G734" s="36"/>
      <c r="FV734" s="24"/>
    </row>
    <row r="735" spans="7:178" x14ac:dyDescent="0.4">
      <c r="G735" s="36"/>
      <c r="FV735" s="24"/>
    </row>
    <row r="736" spans="7:178" x14ac:dyDescent="0.4">
      <c r="G736" s="36"/>
      <c r="FV736" s="24"/>
    </row>
    <row r="737" spans="7:178" x14ac:dyDescent="0.4">
      <c r="G737" s="36"/>
      <c r="FV737" s="24"/>
    </row>
    <row r="738" spans="7:178" x14ac:dyDescent="0.4">
      <c r="G738" s="36"/>
      <c r="FV738" s="24"/>
    </row>
    <row r="739" spans="7:178" x14ac:dyDescent="0.4">
      <c r="G739" s="36"/>
      <c r="FV739" s="24"/>
    </row>
    <row r="740" spans="7:178" x14ac:dyDescent="0.4">
      <c r="G740" s="36"/>
      <c r="FV740" s="24"/>
    </row>
    <row r="741" spans="7:178" x14ac:dyDescent="0.4">
      <c r="G741" s="36"/>
      <c r="FV741" s="24"/>
    </row>
    <row r="742" spans="7:178" x14ac:dyDescent="0.4">
      <c r="G742" s="36"/>
      <c r="FV742" s="24"/>
    </row>
    <row r="743" spans="7:178" x14ac:dyDescent="0.4">
      <c r="G743" s="36"/>
      <c r="FV743" s="24"/>
    </row>
    <row r="744" spans="7:178" x14ac:dyDescent="0.4">
      <c r="G744" s="36"/>
      <c r="FV744" s="24"/>
    </row>
    <row r="745" spans="7:178" x14ac:dyDescent="0.4">
      <c r="G745" s="36"/>
      <c r="FV745" s="24"/>
    </row>
    <row r="746" spans="7:178" x14ac:dyDescent="0.4">
      <c r="G746" s="36"/>
      <c r="FV746" s="24"/>
    </row>
    <row r="747" spans="7:178" x14ac:dyDescent="0.4">
      <c r="G747" s="36"/>
      <c r="FV747" s="24"/>
    </row>
    <row r="748" spans="7:178" x14ac:dyDescent="0.4">
      <c r="G748" s="36"/>
      <c r="FV748" s="24"/>
    </row>
    <row r="749" spans="7:178" x14ac:dyDescent="0.4">
      <c r="G749" s="36"/>
      <c r="FV749" s="24"/>
    </row>
    <row r="750" spans="7:178" x14ac:dyDescent="0.4">
      <c r="G750" s="36"/>
      <c r="FV750" s="24"/>
    </row>
    <row r="751" spans="7:178" x14ac:dyDescent="0.4">
      <c r="G751" s="36"/>
      <c r="FV751" s="24"/>
    </row>
    <row r="752" spans="7:178" x14ac:dyDescent="0.4">
      <c r="G752" s="36"/>
      <c r="FV752" s="24"/>
    </row>
    <row r="753" spans="7:178" x14ac:dyDescent="0.4">
      <c r="G753" s="36"/>
      <c r="FV753" s="24"/>
    </row>
    <row r="754" spans="7:178" x14ac:dyDescent="0.4">
      <c r="G754" s="36"/>
      <c r="FV754" s="24"/>
    </row>
    <row r="755" spans="7:178" x14ac:dyDescent="0.4">
      <c r="G755" s="36"/>
      <c r="FV755" s="24"/>
    </row>
    <row r="756" spans="7:178" x14ac:dyDescent="0.4">
      <c r="G756" s="36"/>
      <c r="FV756" s="24"/>
    </row>
    <row r="757" spans="7:178" x14ac:dyDescent="0.4">
      <c r="G757" s="36"/>
      <c r="FV757" s="24"/>
    </row>
    <row r="758" spans="7:178" x14ac:dyDescent="0.4">
      <c r="G758" s="36"/>
      <c r="FV758" s="24"/>
    </row>
    <row r="759" spans="7:178" x14ac:dyDescent="0.4">
      <c r="G759" s="36"/>
      <c r="FV759" s="24"/>
    </row>
    <row r="760" spans="7:178" x14ac:dyDescent="0.4">
      <c r="G760" s="36"/>
      <c r="FV760" s="24"/>
    </row>
    <row r="761" spans="7:178" x14ac:dyDescent="0.4">
      <c r="G761" s="36"/>
      <c r="FV761" s="24"/>
    </row>
    <row r="762" spans="7:178" x14ac:dyDescent="0.4">
      <c r="G762" s="36"/>
      <c r="FV762" s="24"/>
    </row>
    <row r="763" spans="7:178" x14ac:dyDescent="0.4">
      <c r="G763" s="36"/>
      <c r="FV763" s="24"/>
    </row>
    <row r="764" spans="7:178" x14ac:dyDescent="0.4">
      <c r="G764" s="36"/>
      <c r="FV764" s="24"/>
    </row>
    <row r="765" spans="7:178" x14ac:dyDescent="0.4">
      <c r="G765" s="36"/>
      <c r="FV765" s="24"/>
    </row>
    <row r="766" spans="7:178" x14ac:dyDescent="0.4">
      <c r="G766" s="36"/>
      <c r="FV766" s="24"/>
    </row>
    <row r="767" spans="7:178" x14ac:dyDescent="0.4">
      <c r="G767" s="36"/>
      <c r="FV767" s="24"/>
    </row>
    <row r="768" spans="7:178" x14ac:dyDescent="0.4">
      <c r="G768" s="36"/>
      <c r="FV768" s="24"/>
    </row>
    <row r="769" spans="7:178" x14ac:dyDescent="0.4">
      <c r="G769" s="36"/>
      <c r="FV769" s="24"/>
    </row>
    <row r="770" spans="7:178" x14ac:dyDescent="0.4">
      <c r="G770" s="36"/>
      <c r="FV770" s="24"/>
    </row>
    <row r="771" spans="7:178" x14ac:dyDescent="0.4">
      <c r="G771" s="36"/>
      <c r="FV771" s="24"/>
    </row>
    <row r="772" spans="7:178" x14ac:dyDescent="0.4">
      <c r="G772" s="36"/>
      <c r="FV772" s="24"/>
    </row>
    <row r="773" spans="7:178" x14ac:dyDescent="0.4">
      <c r="G773" s="36"/>
      <c r="FV773" s="24"/>
    </row>
    <row r="774" spans="7:178" x14ac:dyDescent="0.4">
      <c r="G774" s="36"/>
      <c r="FV774" s="24"/>
    </row>
    <row r="775" spans="7:178" x14ac:dyDescent="0.4">
      <c r="G775" s="36"/>
      <c r="FV775" s="24"/>
    </row>
    <row r="776" spans="7:178" x14ac:dyDescent="0.4">
      <c r="G776" s="36"/>
      <c r="FV776" s="24"/>
    </row>
    <row r="777" spans="7:178" x14ac:dyDescent="0.4">
      <c r="G777" s="36"/>
      <c r="FV777" s="24"/>
    </row>
    <row r="778" spans="7:178" x14ac:dyDescent="0.4">
      <c r="G778" s="36"/>
      <c r="FV778" s="24"/>
    </row>
    <row r="779" spans="7:178" x14ac:dyDescent="0.4">
      <c r="G779" s="36"/>
      <c r="FV779" s="24"/>
    </row>
    <row r="780" spans="7:178" x14ac:dyDescent="0.4">
      <c r="G780" s="36"/>
      <c r="FV780" s="24"/>
    </row>
    <row r="781" spans="7:178" x14ac:dyDescent="0.4">
      <c r="G781" s="36"/>
      <c r="FV781" s="24"/>
    </row>
    <row r="782" spans="7:178" x14ac:dyDescent="0.4">
      <c r="G782" s="36"/>
      <c r="FV782" s="24"/>
    </row>
    <row r="783" spans="7:178" x14ac:dyDescent="0.4">
      <c r="G783" s="36"/>
      <c r="FV783" s="24"/>
    </row>
    <row r="784" spans="7:178" x14ac:dyDescent="0.4">
      <c r="G784" s="36"/>
      <c r="FV784" s="24"/>
    </row>
    <row r="785" spans="7:178" x14ac:dyDescent="0.4">
      <c r="G785" s="36"/>
      <c r="FV785" s="24"/>
    </row>
    <row r="786" spans="7:178" x14ac:dyDescent="0.4">
      <c r="G786" s="36"/>
      <c r="FV786" s="24"/>
    </row>
    <row r="787" spans="7:178" x14ac:dyDescent="0.4">
      <c r="G787" s="36"/>
      <c r="FV787" s="24"/>
    </row>
    <row r="788" spans="7:178" x14ac:dyDescent="0.4">
      <c r="G788" s="36"/>
      <c r="FV788" s="24"/>
    </row>
    <row r="789" spans="7:178" x14ac:dyDescent="0.4">
      <c r="G789" s="36"/>
      <c r="FV789" s="24"/>
    </row>
    <row r="790" spans="7:178" x14ac:dyDescent="0.4">
      <c r="G790" s="36"/>
      <c r="FV790" s="24"/>
    </row>
    <row r="791" spans="7:178" x14ac:dyDescent="0.4">
      <c r="G791" s="36"/>
      <c r="FV791" s="24"/>
    </row>
    <row r="792" spans="7:178" x14ac:dyDescent="0.4">
      <c r="G792" s="36"/>
      <c r="FV792" s="24"/>
    </row>
    <row r="793" spans="7:178" x14ac:dyDescent="0.4">
      <c r="G793" s="36"/>
      <c r="FV793" s="24"/>
    </row>
    <row r="794" spans="7:178" x14ac:dyDescent="0.4">
      <c r="G794" s="36"/>
      <c r="FV794" s="24"/>
    </row>
    <row r="795" spans="7:178" x14ac:dyDescent="0.4">
      <c r="G795" s="36"/>
      <c r="FV795" s="24"/>
    </row>
    <row r="796" spans="7:178" x14ac:dyDescent="0.4">
      <c r="G796" s="36"/>
      <c r="FV796" s="24"/>
    </row>
    <row r="797" spans="7:178" x14ac:dyDescent="0.4">
      <c r="G797" s="36"/>
      <c r="FV797" s="24"/>
    </row>
    <row r="798" spans="7:178" x14ac:dyDescent="0.4">
      <c r="G798" s="36"/>
      <c r="FV798" s="24"/>
    </row>
    <row r="799" spans="7:178" x14ac:dyDescent="0.4">
      <c r="G799" s="36"/>
      <c r="FV799" s="24"/>
    </row>
    <row r="800" spans="7:178" x14ac:dyDescent="0.4">
      <c r="G800" s="36"/>
      <c r="FV800" s="24"/>
    </row>
    <row r="801" spans="7:178" x14ac:dyDescent="0.4">
      <c r="G801" s="36"/>
      <c r="FV801" s="24"/>
    </row>
    <row r="802" spans="7:178" x14ac:dyDescent="0.4">
      <c r="G802" s="36"/>
      <c r="FV802" s="24"/>
    </row>
    <row r="803" spans="7:178" x14ac:dyDescent="0.4">
      <c r="G803" s="36"/>
      <c r="FV803" s="24"/>
    </row>
    <row r="804" spans="7:178" x14ac:dyDescent="0.4">
      <c r="G804" s="36"/>
      <c r="FV804" s="24"/>
    </row>
    <row r="805" spans="7:178" x14ac:dyDescent="0.4">
      <c r="G805" s="36"/>
      <c r="FV805" s="24"/>
    </row>
    <row r="806" spans="7:178" x14ac:dyDescent="0.4">
      <c r="G806" s="36"/>
      <c r="FV806" s="24"/>
    </row>
    <row r="807" spans="7:178" x14ac:dyDescent="0.4">
      <c r="G807" s="36"/>
      <c r="FV807" s="24"/>
    </row>
    <row r="808" spans="7:178" x14ac:dyDescent="0.4">
      <c r="G808" s="36"/>
      <c r="FV808" s="24"/>
    </row>
    <row r="809" spans="7:178" x14ac:dyDescent="0.4">
      <c r="G809" s="36"/>
      <c r="FV809" s="24"/>
    </row>
    <row r="810" spans="7:178" x14ac:dyDescent="0.4">
      <c r="G810" s="36"/>
      <c r="FV810" s="24"/>
    </row>
    <row r="811" spans="7:178" x14ac:dyDescent="0.4">
      <c r="G811" s="36"/>
      <c r="FV811" s="24"/>
    </row>
    <row r="812" spans="7:178" x14ac:dyDescent="0.4">
      <c r="G812" s="36"/>
      <c r="FV812" s="24"/>
    </row>
    <row r="813" spans="7:178" x14ac:dyDescent="0.4">
      <c r="G813" s="36"/>
      <c r="FV813" s="24"/>
    </row>
    <row r="814" spans="7:178" x14ac:dyDescent="0.4">
      <c r="G814" s="36"/>
      <c r="FV814" s="24"/>
    </row>
    <row r="815" spans="7:178" x14ac:dyDescent="0.4">
      <c r="G815" s="36"/>
      <c r="FV815" s="24"/>
    </row>
    <row r="816" spans="7:178" x14ac:dyDescent="0.4">
      <c r="G816" s="36"/>
      <c r="FV816" s="24"/>
    </row>
    <row r="817" spans="7:178" x14ac:dyDescent="0.4">
      <c r="G817" s="36"/>
      <c r="FV817" s="24"/>
    </row>
    <row r="818" spans="7:178" x14ac:dyDescent="0.4">
      <c r="G818" s="36"/>
      <c r="FV818" s="24"/>
    </row>
    <row r="819" spans="7:178" x14ac:dyDescent="0.4">
      <c r="G819" s="36"/>
      <c r="FV819" s="24"/>
    </row>
    <row r="820" spans="7:178" x14ac:dyDescent="0.4">
      <c r="G820" s="36"/>
      <c r="FV820" s="24"/>
    </row>
    <row r="821" spans="7:178" x14ac:dyDescent="0.4">
      <c r="G821" s="36"/>
      <c r="FV821" s="24"/>
    </row>
    <row r="822" spans="7:178" x14ac:dyDescent="0.4">
      <c r="G822" s="36"/>
      <c r="FV822" s="24"/>
    </row>
    <row r="823" spans="7:178" x14ac:dyDescent="0.4">
      <c r="G823" s="36"/>
      <c r="FV823" s="24"/>
    </row>
    <row r="824" spans="7:178" x14ac:dyDescent="0.4">
      <c r="G824" s="36"/>
      <c r="FV824" s="24"/>
    </row>
    <row r="825" spans="7:178" x14ac:dyDescent="0.4">
      <c r="G825" s="36"/>
      <c r="FV825" s="24"/>
    </row>
    <row r="826" spans="7:178" x14ac:dyDescent="0.4">
      <c r="G826" s="36"/>
      <c r="FV826" s="24"/>
    </row>
    <row r="827" spans="7:178" x14ac:dyDescent="0.4">
      <c r="G827" s="36"/>
      <c r="FV827" s="24"/>
    </row>
    <row r="828" spans="7:178" x14ac:dyDescent="0.4">
      <c r="G828" s="36"/>
      <c r="FV828" s="24"/>
    </row>
    <row r="829" spans="7:178" x14ac:dyDescent="0.4">
      <c r="G829" s="36"/>
      <c r="FV829" s="24"/>
    </row>
    <row r="830" spans="7:178" x14ac:dyDescent="0.4">
      <c r="G830" s="36"/>
      <c r="FV830" s="24"/>
    </row>
    <row r="831" spans="7:178" x14ac:dyDescent="0.4">
      <c r="G831" s="36"/>
      <c r="FV831" s="24"/>
    </row>
    <row r="832" spans="7:178" x14ac:dyDescent="0.4">
      <c r="G832" s="36"/>
      <c r="FV832" s="24"/>
    </row>
    <row r="833" spans="7:178" x14ac:dyDescent="0.4">
      <c r="G833" s="36"/>
      <c r="FV833" s="24"/>
    </row>
    <row r="834" spans="7:178" x14ac:dyDescent="0.4">
      <c r="G834" s="36"/>
      <c r="FV834" s="24"/>
    </row>
    <row r="835" spans="7:178" x14ac:dyDescent="0.4">
      <c r="G835" s="36"/>
      <c r="FV835" s="24"/>
    </row>
    <row r="836" spans="7:178" x14ac:dyDescent="0.4">
      <c r="G836" s="36"/>
      <c r="FV836" s="24"/>
    </row>
    <row r="837" spans="7:178" x14ac:dyDescent="0.4">
      <c r="G837" s="36"/>
      <c r="FV837" s="24"/>
    </row>
    <row r="838" spans="7:178" x14ac:dyDescent="0.4">
      <c r="G838" s="36"/>
      <c r="FV838" s="24"/>
    </row>
    <row r="839" spans="7:178" x14ac:dyDescent="0.4">
      <c r="G839" s="36"/>
      <c r="FV839" s="24"/>
    </row>
    <row r="840" spans="7:178" x14ac:dyDescent="0.4">
      <c r="G840" s="36"/>
      <c r="FV840" s="24"/>
    </row>
    <row r="841" spans="7:178" x14ac:dyDescent="0.4">
      <c r="G841" s="36"/>
      <c r="FV841" s="24"/>
    </row>
    <row r="842" spans="7:178" x14ac:dyDescent="0.4">
      <c r="G842" s="36"/>
      <c r="FV842" s="24"/>
    </row>
    <row r="843" spans="7:178" x14ac:dyDescent="0.4">
      <c r="G843" s="36"/>
      <c r="FV843" s="24"/>
    </row>
    <row r="844" spans="7:178" x14ac:dyDescent="0.4">
      <c r="G844" s="36"/>
      <c r="FV844" s="24"/>
    </row>
    <row r="845" spans="7:178" x14ac:dyDescent="0.4">
      <c r="G845" s="36"/>
      <c r="FV845" s="24"/>
    </row>
    <row r="846" spans="7:178" x14ac:dyDescent="0.4">
      <c r="G846" s="36"/>
      <c r="FV846" s="24"/>
    </row>
    <row r="847" spans="7:178" x14ac:dyDescent="0.4">
      <c r="G847" s="36"/>
      <c r="FV847" s="24"/>
    </row>
    <row r="848" spans="7:178" x14ac:dyDescent="0.4">
      <c r="G848" s="36"/>
      <c r="FV848" s="24"/>
    </row>
    <row r="849" spans="7:178" x14ac:dyDescent="0.4">
      <c r="G849" s="36"/>
      <c r="FV849" s="24"/>
    </row>
    <row r="850" spans="7:178" x14ac:dyDescent="0.4">
      <c r="G850" s="36"/>
      <c r="FV850" s="24"/>
    </row>
    <row r="851" spans="7:178" x14ac:dyDescent="0.4">
      <c r="G851" s="36"/>
      <c r="FV851" s="24"/>
    </row>
    <row r="852" spans="7:178" x14ac:dyDescent="0.4">
      <c r="G852" s="36"/>
      <c r="FV852" s="24"/>
    </row>
    <row r="853" spans="7:178" x14ac:dyDescent="0.4">
      <c r="G853" s="36"/>
      <c r="FV853" s="24"/>
    </row>
    <row r="854" spans="7:178" x14ac:dyDescent="0.4">
      <c r="G854" s="36"/>
      <c r="FV854" s="24"/>
    </row>
    <row r="855" spans="7:178" x14ac:dyDescent="0.4">
      <c r="G855" s="36"/>
      <c r="FV855" s="24"/>
    </row>
    <row r="856" spans="7:178" x14ac:dyDescent="0.4">
      <c r="G856" s="36"/>
      <c r="FV856" s="24"/>
    </row>
    <row r="857" spans="7:178" x14ac:dyDescent="0.4">
      <c r="G857" s="36"/>
      <c r="FV857" s="24"/>
    </row>
    <row r="858" spans="7:178" x14ac:dyDescent="0.4">
      <c r="G858" s="36"/>
      <c r="FV858" s="24"/>
    </row>
    <row r="859" spans="7:178" x14ac:dyDescent="0.4">
      <c r="G859" s="36"/>
      <c r="FV859" s="24"/>
    </row>
    <row r="860" spans="7:178" x14ac:dyDescent="0.4">
      <c r="G860" s="36"/>
      <c r="FV860" s="24"/>
    </row>
    <row r="861" spans="7:178" x14ac:dyDescent="0.4">
      <c r="G861" s="36"/>
      <c r="FV861" s="24"/>
    </row>
    <row r="862" spans="7:178" x14ac:dyDescent="0.4">
      <c r="G862" s="36"/>
      <c r="FV862" s="24"/>
    </row>
    <row r="863" spans="7:178" x14ac:dyDescent="0.4">
      <c r="G863" s="36"/>
      <c r="FV863" s="24"/>
    </row>
    <row r="864" spans="7:178" x14ac:dyDescent="0.4">
      <c r="G864" s="36"/>
      <c r="FV864" s="24"/>
    </row>
    <row r="865" spans="7:178" x14ac:dyDescent="0.4">
      <c r="G865" s="36"/>
      <c r="FV865" s="24"/>
    </row>
    <row r="866" spans="7:178" x14ac:dyDescent="0.4">
      <c r="G866" s="36"/>
      <c r="FV866" s="24"/>
    </row>
    <row r="867" spans="7:178" x14ac:dyDescent="0.4">
      <c r="G867" s="36"/>
      <c r="FV867" s="24"/>
    </row>
    <row r="868" spans="7:178" x14ac:dyDescent="0.4">
      <c r="G868" s="36"/>
      <c r="FV868" s="24"/>
    </row>
    <row r="869" spans="7:178" x14ac:dyDescent="0.4">
      <c r="G869" s="36"/>
      <c r="FV869" s="24"/>
    </row>
    <row r="870" spans="7:178" x14ac:dyDescent="0.4">
      <c r="G870" s="36"/>
      <c r="FV870" s="24"/>
    </row>
    <row r="871" spans="7:178" x14ac:dyDescent="0.4">
      <c r="G871" s="36"/>
      <c r="FV871" s="24"/>
    </row>
    <row r="872" spans="7:178" x14ac:dyDescent="0.4">
      <c r="G872" s="36"/>
      <c r="FV872" s="24"/>
    </row>
    <row r="873" spans="7:178" x14ac:dyDescent="0.4">
      <c r="G873" s="36"/>
      <c r="FV873" s="24"/>
    </row>
    <row r="874" spans="7:178" x14ac:dyDescent="0.4">
      <c r="G874" s="36"/>
      <c r="FV874" s="24"/>
    </row>
    <row r="875" spans="7:178" x14ac:dyDescent="0.4">
      <c r="G875" s="36"/>
      <c r="FV875" s="24"/>
    </row>
    <row r="876" spans="7:178" x14ac:dyDescent="0.4">
      <c r="G876" s="36"/>
      <c r="FV876" s="24"/>
    </row>
    <row r="877" spans="7:178" x14ac:dyDescent="0.4">
      <c r="G877" s="36"/>
      <c r="FV877" s="24"/>
    </row>
    <row r="878" spans="7:178" x14ac:dyDescent="0.4">
      <c r="G878" s="36"/>
      <c r="FV878" s="24"/>
    </row>
    <row r="879" spans="7:178" x14ac:dyDescent="0.4">
      <c r="G879" s="36"/>
      <c r="FV879" s="24"/>
    </row>
    <row r="880" spans="7:178" x14ac:dyDescent="0.4">
      <c r="G880" s="36"/>
      <c r="FV880" s="24"/>
    </row>
    <row r="881" spans="7:178" x14ac:dyDescent="0.4">
      <c r="G881" s="36"/>
      <c r="FV881" s="24"/>
    </row>
    <row r="882" spans="7:178" x14ac:dyDescent="0.4">
      <c r="G882" s="36"/>
      <c r="FV882" s="24"/>
    </row>
    <row r="883" spans="7:178" x14ac:dyDescent="0.4">
      <c r="G883" s="36"/>
      <c r="FV883" s="24"/>
    </row>
    <row r="884" spans="7:178" x14ac:dyDescent="0.4">
      <c r="G884" s="36"/>
      <c r="FV884" s="24"/>
    </row>
    <row r="885" spans="7:178" x14ac:dyDescent="0.4">
      <c r="G885" s="36"/>
      <c r="FV885" s="24"/>
    </row>
    <row r="886" spans="7:178" x14ac:dyDescent="0.4">
      <c r="G886" s="36"/>
      <c r="FV886" s="24"/>
    </row>
    <row r="887" spans="7:178" x14ac:dyDescent="0.4">
      <c r="G887" s="36"/>
      <c r="FV887" s="24"/>
    </row>
    <row r="888" spans="7:178" x14ac:dyDescent="0.4">
      <c r="G888" s="36"/>
      <c r="FV888" s="24"/>
    </row>
    <row r="889" spans="7:178" x14ac:dyDescent="0.4">
      <c r="G889" s="36"/>
      <c r="FV889" s="24"/>
    </row>
    <row r="890" spans="7:178" x14ac:dyDescent="0.4">
      <c r="G890" s="36"/>
      <c r="FV890" s="24"/>
    </row>
    <row r="891" spans="7:178" x14ac:dyDescent="0.4">
      <c r="G891" s="36"/>
      <c r="FV891" s="24"/>
    </row>
    <row r="892" spans="7:178" x14ac:dyDescent="0.4">
      <c r="G892" s="36"/>
      <c r="FV892" s="24"/>
    </row>
    <row r="893" spans="7:178" x14ac:dyDescent="0.4">
      <c r="G893" s="36"/>
      <c r="FV893" s="24"/>
    </row>
    <row r="894" spans="7:178" x14ac:dyDescent="0.4">
      <c r="G894" s="36"/>
      <c r="FV894" s="24"/>
    </row>
    <row r="895" spans="7:178" x14ac:dyDescent="0.4">
      <c r="G895" s="36"/>
      <c r="FV895" s="24"/>
    </row>
    <row r="896" spans="7:178" x14ac:dyDescent="0.4">
      <c r="G896" s="36"/>
      <c r="FV896" s="24"/>
    </row>
    <row r="897" spans="7:178" x14ac:dyDescent="0.4">
      <c r="G897" s="36"/>
      <c r="FV897" s="24"/>
    </row>
    <row r="898" spans="7:178" x14ac:dyDescent="0.4">
      <c r="G898" s="36"/>
      <c r="FV898" s="24"/>
    </row>
    <row r="899" spans="7:178" x14ac:dyDescent="0.4">
      <c r="G899" s="36"/>
      <c r="FV899" s="24"/>
    </row>
    <row r="900" spans="7:178" x14ac:dyDescent="0.4">
      <c r="G900" s="36"/>
      <c r="FV900" s="24"/>
    </row>
    <row r="901" spans="7:178" x14ac:dyDescent="0.4">
      <c r="G901" s="36"/>
      <c r="FV901" s="24"/>
    </row>
    <row r="902" spans="7:178" x14ac:dyDescent="0.4">
      <c r="G902" s="36"/>
      <c r="FV902" s="24"/>
    </row>
    <row r="903" spans="7:178" x14ac:dyDescent="0.4">
      <c r="G903" s="36"/>
      <c r="FV903" s="24"/>
    </row>
    <row r="904" spans="7:178" x14ac:dyDescent="0.4">
      <c r="G904" s="36"/>
      <c r="FV904" s="24"/>
    </row>
    <row r="905" spans="7:178" x14ac:dyDescent="0.4">
      <c r="G905" s="36"/>
      <c r="FV905" s="24"/>
    </row>
    <row r="906" spans="7:178" x14ac:dyDescent="0.4">
      <c r="G906" s="36"/>
      <c r="FV906" s="24"/>
    </row>
    <row r="907" spans="7:178" x14ac:dyDescent="0.4">
      <c r="G907" s="36"/>
      <c r="FV907" s="24"/>
    </row>
    <row r="908" spans="7:178" x14ac:dyDescent="0.4">
      <c r="G908" s="36"/>
      <c r="FV908" s="24"/>
    </row>
    <row r="909" spans="7:178" x14ac:dyDescent="0.4">
      <c r="G909" s="36"/>
      <c r="FV909" s="24"/>
    </row>
    <row r="910" spans="7:178" x14ac:dyDescent="0.4">
      <c r="G910" s="36"/>
      <c r="FV910" s="24"/>
    </row>
    <row r="911" spans="7:178" x14ac:dyDescent="0.4">
      <c r="G911" s="36"/>
      <c r="FV911" s="24"/>
    </row>
    <row r="912" spans="7:178" x14ac:dyDescent="0.4">
      <c r="G912" s="36"/>
      <c r="FV912" s="24"/>
    </row>
    <row r="913" spans="7:178" x14ac:dyDescent="0.4">
      <c r="G913" s="36"/>
      <c r="FV913" s="24"/>
    </row>
    <row r="914" spans="7:178" x14ac:dyDescent="0.4">
      <c r="G914" s="36"/>
      <c r="FV914" s="24"/>
    </row>
    <row r="915" spans="7:178" x14ac:dyDescent="0.4">
      <c r="G915" s="36"/>
      <c r="FV915" s="24"/>
    </row>
    <row r="916" spans="7:178" x14ac:dyDescent="0.4">
      <c r="G916" s="36"/>
      <c r="FV916" s="24"/>
    </row>
    <row r="917" spans="7:178" x14ac:dyDescent="0.4">
      <c r="G917" s="36"/>
      <c r="FV917" s="24"/>
    </row>
    <row r="918" spans="7:178" x14ac:dyDescent="0.4">
      <c r="G918" s="36"/>
      <c r="FV918" s="24"/>
    </row>
    <row r="919" spans="7:178" x14ac:dyDescent="0.4">
      <c r="G919" s="36"/>
      <c r="FV919" s="24"/>
    </row>
    <row r="920" spans="7:178" x14ac:dyDescent="0.4">
      <c r="G920" s="36"/>
      <c r="FV920" s="24"/>
    </row>
    <row r="921" spans="7:178" x14ac:dyDescent="0.4">
      <c r="G921" s="36"/>
      <c r="FV921" s="24"/>
    </row>
    <row r="922" spans="7:178" x14ac:dyDescent="0.4">
      <c r="G922" s="36"/>
      <c r="FV922" s="24"/>
    </row>
    <row r="923" spans="7:178" x14ac:dyDescent="0.4">
      <c r="G923" s="36"/>
      <c r="FV923" s="24"/>
    </row>
    <row r="924" spans="7:178" x14ac:dyDescent="0.4">
      <c r="G924" s="36"/>
      <c r="FV924" s="24"/>
    </row>
    <row r="925" spans="7:178" x14ac:dyDescent="0.4">
      <c r="G925" s="36"/>
      <c r="FV925" s="24"/>
    </row>
    <row r="926" spans="7:178" x14ac:dyDescent="0.4">
      <c r="G926" s="36"/>
      <c r="FV926" s="24"/>
    </row>
    <row r="927" spans="7:178" x14ac:dyDescent="0.4">
      <c r="G927" s="36"/>
      <c r="FV927" s="24"/>
    </row>
    <row r="928" spans="7:178" x14ac:dyDescent="0.4">
      <c r="G928" s="36"/>
      <c r="FV928" s="24"/>
    </row>
    <row r="929" spans="7:178" x14ac:dyDescent="0.4">
      <c r="G929" s="36"/>
      <c r="FV929" s="24"/>
    </row>
    <row r="930" spans="7:178" x14ac:dyDescent="0.4">
      <c r="G930" s="36"/>
      <c r="FV930" s="24"/>
    </row>
    <row r="931" spans="7:178" x14ac:dyDescent="0.4">
      <c r="G931" s="36"/>
      <c r="FV931" s="24"/>
    </row>
    <row r="932" spans="7:178" x14ac:dyDescent="0.4">
      <c r="G932" s="36"/>
      <c r="FV932" s="24"/>
    </row>
    <row r="933" spans="7:178" x14ac:dyDescent="0.4">
      <c r="G933" s="36"/>
      <c r="FV933" s="24"/>
    </row>
    <row r="934" spans="7:178" x14ac:dyDescent="0.4">
      <c r="G934" s="36"/>
      <c r="FV934" s="24"/>
    </row>
    <row r="935" spans="7:178" x14ac:dyDescent="0.4">
      <c r="G935" s="36"/>
      <c r="FV935" s="24"/>
    </row>
    <row r="936" spans="7:178" x14ac:dyDescent="0.4">
      <c r="G936" s="36"/>
      <c r="FV936" s="24"/>
    </row>
    <row r="937" spans="7:178" x14ac:dyDescent="0.4">
      <c r="G937" s="36"/>
      <c r="FV937" s="24"/>
    </row>
    <row r="938" spans="7:178" x14ac:dyDescent="0.4">
      <c r="G938" s="36"/>
      <c r="FV938" s="24"/>
    </row>
    <row r="939" spans="7:178" x14ac:dyDescent="0.4">
      <c r="G939" s="36"/>
      <c r="FV939" s="24"/>
    </row>
    <row r="940" spans="7:178" x14ac:dyDescent="0.4">
      <c r="G940" s="36"/>
      <c r="FV940" s="24"/>
    </row>
    <row r="941" spans="7:178" x14ac:dyDescent="0.4">
      <c r="G941" s="36"/>
      <c r="FV941" s="24"/>
    </row>
    <row r="942" spans="7:178" x14ac:dyDescent="0.4">
      <c r="G942" s="36"/>
      <c r="FV942" s="24"/>
    </row>
    <row r="943" spans="7:178" x14ac:dyDescent="0.4">
      <c r="G943" s="36"/>
      <c r="FV943" s="24"/>
    </row>
    <row r="944" spans="7:178" x14ac:dyDescent="0.4">
      <c r="G944" s="36"/>
      <c r="FV944" s="24"/>
    </row>
    <row r="945" spans="7:178" x14ac:dyDescent="0.4">
      <c r="G945" s="36"/>
      <c r="FV945" s="24"/>
    </row>
    <row r="946" spans="7:178" x14ac:dyDescent="0.4">
      <c r="G946" s="36"/>
      <c r="FV946" s="24"/>
    </row>
    <row r="947" spans="7:178" x14ac:dyDescent="0.4">
      <c r="G947" s="36"/>
      <c r="FV947" s="24"/>
    </row>
    <row r="948" spans="7:178" x14ac:dyDescent="0.4">
      <c r="G948" s="36"/>
      <c r="FV948" s="24"/>
    </row>
    <row r="949" spans="7:178" x14ac:dyDescent="0.4">
      <c r="G949" s="36"/>
      <c r="FV949" s="24"/>
    </row>
    <row r="950" spans="7:178" x14ac:dyDescent="0.4">
      <c r="G950" s="36"/>
      <c r="FV950" s="24"/>
    </row>
    <row r="951" spans="7:178" x14ac:dyDescent="0.4">
      <c r="G951" s="36"/>
      <c r="FV951" s="24"/>
    </row>
    <row r="952" spans="7:178" x14ac:dyDescent="0.4">
      <c r="G952" s="36"/>
      <c r="FV952" s="24"/>
    </row>
    <row r="953" spans="7:178" x14ac:dyDescent="0.4">
      <c r="G953" s="36"/>
      <c r="FV953" s="24"/>
    </row>
    <row r="954" spans="7:178" x14ac:dyDescent="0.4">
      <c r="G954" s="36"/>
      <c r="FV954" s="24"/>
    </row>
    <row r="955" spans="7:178" x14ac:dyDescent="0.4">
      <c r="G955" s="36"/>
      <c r="FV955" s="24"/>
    </row>
    <row r="956" spans="7:178" x14ac:dyDescent="0.4">
      <c r="G956" s="36"/>
      <c r="FV956" s="24"/>
    </row>
    <row r="957" spans="7:178" x14ac:dyDescent="0.4">
      <c r="G957" s="36"/>
      <c r="FV957" s="24"/>
    </row>
    <row r="958" spans="7:178" x14ac:dyDescent="0.4">
      <c r="G958" s="36"/>
      <c r="FV958" s="24"/>
    </row>
    <row r="959" spans="7:178" x14ac:dyDescent="0.4">
      <c r="G959" s="36"/>
      <c r="FV959" s="24"/>
    </row>
    <row r="960" spans="7:178" x14ac:dyDescent="0.4">
      <c r="G960" s="36"/>
      <c r="FV960" s="24"/>
    </row>
    <row r="961" spans="7:178" x14ac:dyDescent="0.4">
      <c r="G961" s="36"/>
      <c r="FV961" s="24"/>
    </row>
    <row r="962" spans="7:178" x14ac:dyDescent="0.4">
      <c r="G962" s="36"/>
      <c r="FV962" s="24"/>
    </row>
    <row r="963" spans="7:178" x14ac:dyDescent="0.4">
      <c r="G963" s="36"/>
      <c r="FV963" s="24"/>
    </row>
    <row r="964" spans="7:178" x14ac:dyDescent="0.4">
      <c r="G964" s="36"/>
      <c r="FV964" s="24"/>
    </row>
    <row r="965" spans="7:178" x14ac:dyDescent="0.4">
      <c r="G965" s="36"/>
      <c r="FV965" s="24"/>
    </row>
    <row r="966" spans="7:178" x14ac:dyDescent="0.4">
      <c r="G966" s="36"/>
      <c r="FV966" s="24"/>
    </row>
    <row r="967" spans="7:178" x14ac:dyDescent="0.4">
      <c r="G967" s="36"/>
      <c r="FV967" s="24"/>
    </row>
    <row r="968" spans="7:178" x14ac:dyDescent="0.4">
      <c r="G968" s="36"/>
      <c r="FV968" s="24"/>
    </row>
    <row r="969" spans="7:178" x14ac:dyDescent="0.4">
      <c r="G969" s="36"/>
      <c r="FV969" s="24"/>
    </row>
    <row r="970" spans="7:178" x14ac:dyDescent="0.4">
      <c r="G970" s="36"/>
      <c r="FV970" s="24"/>
    </row>
    <row r="971" spans="7:178" x14ac:dyDescent="0.4">
      <c r="G971" s="36"/>
      <c r="FV971" s="24"/>
    </row>
    <row r="972" spans="7:178" x14ac:dyDescent="0.4">
      <c r="G972" s="36"/>
      <c r="FV972" s="24"/>
    </row>
    <row r="973" spans="7:178" x14ac:dyDescent="0.4">
      <c r="G973" s="36"/>
      <c r="FV973" s="24"/>
    </row>
    <row r="974" spans="7:178" x14ac:dyDescent="0.4">
      <c r="G974" s="36"/>
      <c r="FV974" s="24"/>
    </row>
    <row r="975" spans="7:178" x14ac:dyDescent="0.4">
      <c r="G975" s="36"/>
      <c r="FV975" s="24"/>
    </row>
    <row r="976" spans="7:178" x14ac:dyDescent="0.4">
      <c r="G976" s="36"/>
      <c r="FV976" s="24"/>
    </row>
    <row r="977" spans="7:178" x14ac:dyDescent="0.4">
      <c r="G977" s="36"/>
      <c r="FV977" s="24"/>
    </row>
    <row r="978" spans="7:178" x14ac:dyDescent="0.4">
      <c r="G978" s="36"/>
      <c r="FV978" s="24"/>
    </row>
    <row r="979" spans="7:178" x14ac:dyDescent="0.4">
      <c r="G979" s="36"/>
      <c r="FV979" s="24"/>
    </row>
    <row r="980" spans="7:178" x14ac:dyDescent="0.4">
      <c r="G980" s="36"/>
      <c r="FV980" s="24"/>
    </row>
    <row r="981" spans="7:178" x14ac:dyDescent="0.4">
      <c r="G981" s="36"/>
      <c r="FV981" s="24"/>
    </row>
    <row r="982" spans="7:178" x14ac:dyDescent="0.4">
      <c r="G982" s="36"/>
      <c r="FV982" s="24"/>
    </row>
    <row r="983" spans="7:178" x14ac:dyDescent="0.4">
      <c r="G983" s="36"/>
      <c r="FV983" s="24"/>
    </row>
    <row r="984" spans="7:178" x14ac:dyDescent="0.4">
      <c r="G984" s="36"/>
      <c r="FV984" s="24"/>
    </row>
    <row r="985" spans="7:178" x14ac:dyDescent="0.4">
      <c r="G985" s="36"/>
      <c r="FV985" s="24"/>
    </row>
    <row r="986" spans="7:178" x14ac:dyDescent="0.4">
      <c r="G986" s="36"/>
      <c r="FV986" s="24"/>
    </row>
    <row r="987" spans="7:178" x14ac:dyDescent="0.4">
      <c r="G987" s="36"/>
      <c r="FV987" s="24"/>
    </row>
    <row r="988" spans="7:178" x14ac:dyDescent="0.4">
      <c r="G988" s="36"/>
      <c r="FV988" s="24"/>
    </row>
    <row r="989" spans="7:178" x14ac:dyDescent="0.4">
      <c r="G989" s="36"/>
      <c r="FV989" s="24"/>
    </row>
    <row r="990" spans="7:178" x14ac:dyDescent="0.4">
      <c r="G990" s="36"/>
      <c r="FV990" s="24"/>
    </row>
    <row r="991" spans="7:178" x14ac:dyDescent="0.4">
      <c r="G991" s="36"/>
      <c r="FV991" s="24"/>
    </row>
    <row r="992" spans="7:178" x14ac:dyDescent="0.4">
      <c r="G992" s="36"/>
      <c r="FV992" s="24"/>
    </row>
    <row r="993" spans="7:178" x14ac:dyDescent="0.4">
      <c r="G993" s="36"/>
      <c r="FV993" s="24"/>
    </row>
    <row r="994" spans="7:178" x14ac:dyDescent="0.4">
      <c r="G994" s="36"/>
      <c r="FV994" s="24"/>
    </row>
    <row r="995" spans="7:178" x14ac:dyDescent="0.4">
      <c r="G995" s="36"/>
      <c r="FV995" s="24"/>
    </row>
    <row r="996" spans="7:178" x14ac:dyDescent="0.4">
      <c r="G996" s="36"/>
      <c r="FV996" s="24"/>
    </row>
    <row r="997" spans="7:178" x14ac:dyDescent="0.4">
      <c r="G997" s="36"/>
      <c r="FV997" s="24"/>
    </row>
    <row r="998" spans="7:178" x14ac:dyDescent="0.4">
      <c r="G998" s="36"/>
      <c r="FV998" s="24"/>
    </row>
    <row r="999" spans="7:178" x14ac:dyDescent="0.4">
      <c r="G999" s="36"/>
      <c r="FV999" s="24"/>
    </row>
    <row r="1000" spans="7:178" x14ac:dyDescent="0.4">
      <c r="G1000" s="36"/>
      <c r="FV1000" s="24"/>
    </row>
    <row r="1001" spans="7:178" x14ac:dyDescent="0.4">
      <c r="G1001" s="36"/>
      <c r="FV1001" s="24"/>
    </row>
    <row r="1002" spans="7:178" x14ac:dyDescent="0.4">
      <c r="G1002" s="36"/>
      <c r="FV1002" s="24"/>
    </row>
    <row r="1003" spans="7:178" x14ac:dyDescent="0.4">
      <c r="G1003" s="36"/>
      <c r="FV1003" s="24"/>
    </row>
    <row r="1004" spans="7:178" x14ac:dyDescent="0.4">
      <c r="G1004" s="36"/>
      <c r="FV1004" s="24"/>
    </row>
    <row r="1005" spans="7:178" x14ac:dyDescent="0.4">
      <c r="G1005" s="36"/>
      <c r="FV1005" s="24"/>
    </row>
    <row r="1006" spans="7:178" x14ac:dyDescent="0.4">
      <c r="G1006" s="36"/>
      <c r="FV1006" s="24"/>
    </row>
    <row r="1007" spans="7:178" x14ac:dyDescent="0.4">
      <c r="G1007" s="36"/>
      <c r="FV1007" s="24"/>
    </row>
    <row r="1008" spans="7:178" x14ac:dyDescent="0.4">
      <c r="G1008" s="36"/>
      <c r="FV1008" s="24"/>
    </row>
    <row r="1009" spans="7:178" x14ac:dyDescent="0.4">
      <c r="G1009" s="36"/>
      <c r="FV1009" s="24"/>
    </row>
    <row r="1010" spans="7:178" x14ac:dyDescent="0.4">
      <c r="G1010" s="36"/>
      <c r="FV1010" s="24"/>
    </row>
    <row r="1011" spans="7:178" x14ac:dyDescent="0.4">
      <c r="G1011" s="36"/>
      <c r="FV1011" s="24"/>
    </row>
    <row r="1012" spans="7:178" x14ac:dyDescent="0.4">
      <c r="G1012" s="36"/>
      <c r="FV1012" s="24"/>
    </row>
    <row r="1013" spans="7:178" x14ac:dyDescent="0.4">
      <c r="G1013" s="36"/>
      <c r="FV1013" s="24"/>
    </row>
    <row r="1014" spans="7:178" x14ac:dyDescent="0.4">
      <c r="G1014" s="36"/>
      <c r="FV1014" s="24"/>
    </row>
    <row r="1015" spans="7:178" x14ac:dyDescent="0.4">
      <c r="G1015" s="36"/>
      <c r="FV1015" s="24"/>
    </row>
    <row r="1016" spans="7:178" x14ac:dyDescent="0.4">
      <c r="G1016" s="36"/>
      <c r="FV1016" s="24"/>
    </row>
    <row r="1017" spans="7:178" x14ac:dyDescent="0.4">
      <c r="G1017" s="36"/>
      <c r="FV1017" s="24"/>
    </row>
    <row r="1018" spans="7:178" x14ac:dyDescent="0.4">
      <c r="G1018" s="36"/>
      <c r="FV1018" s="24"/>
    </row>
    <row r="1019" spans="7:178" x14ac:dyDescent="0.4">
      <c r="G1019" s="36"/>
      <c r="FV1019" s="24"/>
    </row>
    <row r="1020" spans="7:178" x14ac:dyDescent="0.4">
      <c r="G1020" s="36"/>
      <c r="FV1020" s="24"/>
    </row>
    <row r="1021" spans="7:178" x14ac:dyDescent="0.4">
      <c r="G1021" s="36"/>
      <c r="FV1021" s="24"/>
    </row>
    <row r="1022" spans="7:178" x14ac:dyDescent="0.4">
      <c r="G1022" s="36"/>
      <c r="FV1022" s="24"/>
    </row>
    <row r="1023" spans="7:178" x14ac:dyDescent="0.4">
      <c r="G1023" s="36"/>
      <c r="FV1023" s="24"/>
    </row>
    <row r="1024" spans="7:178" x14ac:dyDescent="0.4">
      <c r="G1024" s="36"/>
      <c r="FV1024" s="24"/>
    </row>
    <row r="1025" spans="7:178" x14ac:dyDescent="0.4">
      <c r="G1025" s="36"/>
      <c r="FV1025" s="24"/>
    </row>
    <row r="1026" spans="7:178" x14ac:dyDescent="0.4">
      <c r="G1026" s="36"/>
      <c r="FV1026" s="24"/>
    </row>
    <row r="1027" spans="7:178" x14ac:dyDescent="0.4">
      <c r="G1027" s="36"/>
      <c r="FV1027" s="24"/>
    </row>
    <row r="1028" spans="7:178" x14ac:dyDescent="0.4">
      <c r="G1028" s="36"/>
      <c r="FV1028" s="24"/>
    </row>
    <row r="1029" spans="7:178" x14ac:dyDescent="0.4">
      <c r="G1029" s="36"/>
      <c r="FV1029" s="24"/>
    </row>
    <row r="1030" spans="7:178" x14ac:dyDescent="0.4">
      <c r="G1030" s="36"/>
      <c r="FV1030" s="24"/>
    </row>
    <row r="1031" spans="7:178" x14ac:dyDescent="0.4">
      <c r="G1031" s="36"/>
      <c r="FV1031" s="24"/>
    </row>
    <row r="1032" spans="7:178" x14ac:dyDescent="0.4">
      <c r="G1032" s="36"/>
      <c r="FV1032" s="24"/>
    </row>
    <row r="1033" spans="7:178" x14ac:dyDescent="0.4">
      <c r="G1033" s="36"/>
      <c r="FV1033" s="24"/>
    </row>
    <row r="1034" spans="7:178" x14ac:dyDescent="0.4">
      <c r="G1034" s="36"/>
      <c r="FV1034" s="24"/>
    </row>
    <row r="1035" spans="7:178" x14ac:dyDescent="0.4">
      <c r="G1035" s="36"/>
      <c r="FV1035" s="24"/>
    </row>
    <row r="1036" spans="7:178" x14ac:dyDescent="0.4">
      <c r="G1036" s="36"/>
      <c r="FV1036" s="24"/>
    </row>
    <row r="1037" spans="7:178" x14ac:dyDescent="0.4">
      <c r="G1037" s="36"/>
      <c r="FV1037" s="24"/>
    </row>
    <row r="1038" spans="7:178" x14ac:dyDescent="0.4">
      <c r="G1038" s="36"/>
      <c r="FV1038" s="24"/>
    </row>
    <row r="1039" spans="7:178" x14ac:dyDescent="0.4">
      <c r="G1039" s="36"/>
      <c r="FV1039" s="24"/>
    </row>
    <row r="1040" spans="7:178" x14ac:dyDescent="0.4">
      <c r="G1040" s="36"/>
      <c r="FV1040" s="24"/>
    </row>
    <row r="1041" spans="7:178" x14ac:dyDescent="0.4">
      <c r="G1041" s="36"/>
      <c r="FV1041" s="24"/>
    </row>
    <row r="1042" spans="7:178" x14ac:dyDescent="0.4">
      <c r="G1042" s="36"/>
      <c r="FV1042" s="24"/>
    </row>
    <row r="1043" spans="7:178" x14ac:dyDescent="0.4">
      <c r="G1043" s="36"/>
      <c r="FV1043" s="24"/>
    </row>
    <row r="1044" spans="7:178" x14ac:dyDescent="0.4">
      <c r="G1044" s="36"/>
      <c r="FV1044" s="24"/>
    </row>
    <row r="1045" spans="7:178" x14ac:dyDescent="0.4">
      <c r="G1045" s="36"/>
      <c r="FV1045" s="24"/>
    </row>
    <row r="1046" spans="7:178" x14ac:dyDescent="0.4">
      <c r="G1046" s="36"/>
      <c r="FV1046" s="24"/>
    </row>
    <row r="1047" spans="7:178" x14ac:dyDescent="0.4">
      <c r="G1047" s="36"/>
      <c r="FV1047" s="24"/>
    </row>
    <row r="1048" spans="7:178" x14ac:dyDescent="0.4">
      <c r="G1048" s="36"/>
      <c r="FV1048" s="24"/>
    </row>
    <row r="1049" spans="7:178" x14ac:dyDescent="0.4">
      <c r="G1049" s="36"/>
      <c r="FV1049" s="24"/>
    </row>
    <row r="1050" spans="7:178" x14ac:dyDescent="0.4">
      <c r="G1050" s="36"/>
      <c r="FV1050" s="24"/>
    </row>
    <row r="1051" spans="7:178" x14ac:dyDescent="0.4">
      <c r="G1051" s="36"/>
      <c r="FV1051" s="24"/>
    </row>
    <row r="1052" spans="7:178" x14ac:dyDescent="0.4">
      <c r="G1052" s="36"/>
      <c r="FV1052" s="24"/>
    </row>
    <row r="1053" spans="7:178" x14ac:dyDescent="0.4">
      <c r="G1053" s="36"/>
      <c r="FV1053" s="24"/>
    </row>
    <row r="1054" spans="7:178" x14ac:dyDescent="0.4">
      <c r="G1054" s="36"/>
      <c r="FV1054" s="24"/>
    </row>
    <row r="1055" spans="7:178" x14ac:dyDescent="0.4">
      <c r="G1055" s="36"/>
      <c r="FV1055" s="24"/>
    </row>
    <row r="1056" spans="7:178" x14ac:dyDescent="0.4">
      <c r="G1056" s="36"/>
      <c r="FV1056" s="24"/>
    </row>
    <row r="1057" spans="7:178" x14ac:dyDescent="0.4">
      <c r="G1057" s="36"/>
      <c r="FV1057" s="24"/>
    </row>
    <row r="1058" spans="7:178" x14ac:dyDescent="0.4">
      <c r="G1058" s="36"/>
      <c r="FV1058" s="24"/>
    </row>
    <row r="1059" spans="7:178" x14ac:dyDescent="0.4">
      <c r="G1059" s="36"/>
      <c r="FV1059" s="24"/>
    </row>
    <row r="1060" spans="7:178" x14ac:dyDescent="0.4">
      <c r="G1060" s="36"/>
      <c r="FV1060" s="24"/>
    </row>
    <row r="1061" spans="7:178" x14ac:dyDescent="0.4">
      <c r="G1061" s="36"/>
      <c r="FV1061" s="24"/>
    </row>
    <row r="1062" spans="7:178" x14ac:dyDescent="0.4">
      <c r="G1062" s="36"/>
      <c r="FV1062" s="24"/>
    </row>
    <row r="1063" spans="7:178" x14ac:dyDescent="0.4">
      <c r="G1063" s="36"/>
      <c r="FV1063" s="24"/>
    </row>
    <row r="1064" spans="7:178" x14ac:dyDescent="0.4">
      <c r="G1064" s="36"/>
      <c r="FV1064" s="24"/>
    </row>
    <row r="1065" spans="7:178" x14ac:dyDescent="0.4">
      <c r="G1065" s="36"/>
      <c r="FV1065" s="24"/>
    </row>
    <row r="1066" spans="7:178" x14ac:dyDescent="0.4">
      <c r="G1066" s="36"/>
      <c r="FV1066" s="24"/>
    </row>
    <row r="1067" spans="7:178" x14ac:dyDescent="0.4">
      <c r="G1067" s="36"/>
      <c r="FV1067" s="24"/>
    </row>
    <row r="1068" spans="7:178" x14ac:dyDescent="0.4">
      <c r="G1068" s="36"/>
      <c r="FV1068" s="24"/>
    </row>
    <row r="1069" spans="7:178" x14ac:dyDescent="0.4">
      <c r="G1069" s="36"/>
      <c r="FV1069" s="24"/>
    </row>
    <row r="1070" spans="7:178" x14ac:dyDescent="0.4">
      <c r="G1070" s="36"/>
      <c r="FV1070" s="24"/>
    </row>
    <row r="1071" spans="7:178" x14ac:dyDescent="0.4">
      <c r="G1071" s="36"/>
      <c r="FV1071" s="24"/>
    </row>
    <row r="1072" spans="7:178" x14ac:dyDescent="0.4">
      <c r="G1072" s="36"/>
      <c r="FV1072" s="24"/>
    </row>
    <row r="1073" spans="7:178" x14ac:dyDescent="0.4">
      <c r="G1073" s="36"/>
      <c r="FV1073" s="24"/>
    </row>
    <row r="1074" spans="7:178" x14ac:dyDescent="0.4">
      <c r="G1074" s="36"/>
      <c r="FV1074" s="24"/>
    </row>
    <row r="1075" spans="7:178" x14ac:dyDescent="0.4">
      <c r="G1075" s="36"/>
      <c r="FV1075" s="24"/>
    </row>
    <row r="1076" spans="7:178" x14ac:dyDescent="0.4">
      <c r="G1076" s="36"/>
      <c r="FV1076" s="24"/>
    </row>
    <row r="1077" spans="7:178" x14ac:dyDescent="0.4">
      <c r="G1077" s="36"/>
      <c r="FV1077" s="24"/>
    </row>
    <row r="1078" spans="7:178" x14ac:dyDescent="0.4">
      <c r="G1078" s="36"/>
      <c r="FV1078" s="24"/>
    </row>
    <row r="1079" spans="7:178" x14ac:dyDescent="0.4">
      <c r="G1079" s="36"/>
      <c r="FV1079" s="24"/>
    </row>
    <row r="1080" spans="7:178" x14ac:dyDescent="0.4">
      <c r="G1080" s="36"/>
      <c r="FV1080" s="24"/>
    </row>
    <row r="1081" spans="7:178" x14ac:dyDescent="0.4">
      <c r="G1081" s="36"/>
      <c r="FV1081" s="24"/>
    </row>
    <row r="1082" spans="7:178" x14ac:dyDescent="0.4">
      <c r="G1082" s="36"/>
      <c r="FV1082" s="24"/>
    </row>
    <row r="1083" spans="7:178" x14ac:dyDescent="0.4">
      <c r="G1083" s="36"/>
      <c r="FV1083" s="24"/>
    </row>
    <row r="1084" spans="7:178" x14ac:dyDescent="0.4">
      <c r="G1084" s="36"/>
      <c r="FV1084" s="24"/>
    </row>
    <row r="1085" spans="7:178" x14ac:dyDescent="0.4">
      <c r="G1085" s="36"/>
      <c r="FV1085" s="24"/>
    </row>
    <row r="1086" spans="7:178" x14ac:dyDescent="0.4">
      <c r="G1086" s="36"/>
      <c r="FV1086" s="24"/>
    </row>
    <row r="1087" spans="7:178" x14ac:dyDescent="0.4">
      <c r="G1087" s="36"/>
      <c r="FV1087" s="24"/>
    </row>
    <row r="1088" spans="7:178" x14ac:dyDescent="0.4">
      <c r="G1088" s="36"/>
      <c r="FV1088" s="24"/>
    </row>
    <row r="1089" spans="7:178" x14ac:dyDescent="0.4">
      <c r="G1089" s="36"/>
      <c r="FV1089" s="24"/>
    </row>
    <row r="1090" spans="7:178" x14ac:dyDescent="0.4">
      <c r="G1090" s="36"/>
      <c r="FV1090" s="24"/>
    </row>
    <row r="1091" spans="7:178" x14ac:dyDescent="0.4">
      <c r="G1091" s="36"/>
      <c r="FV1091" s="24"/>
    </row>
    <row r="1092" spans="7:178" x14ac:dyDescent="0.4">
      <c r="G1092" s="36"/>
      <c r="FV1092" s="24"/>
    </row>
    <row r="1093" spans="7:178" x14ac:dyDescent="0.4">
      <c r="G1093" s="36"/>
      <c r="FV1093" s="24"/>
    </row>
    <row r="1094" spans="7:178" x14ac:dyDescent="0.4">
      <c r="G1094" s="36"/>
      <c r="FV1094" s="24"/>
    </row>
    <row r="1095" spans="7:178" x14ac:dyDescent="0.4">
      <c r="G1095" s="36"/>
      <c r="FV1095" s="24"/>
    </row>
    <row r="1096" spans="7:178" x14ac:dyDescent="0.4">
      <c r="G1096" s="36"/>
      <c r="FV1096" s="24"/>
    </row>
    <row r="1097" spans="7:178" x14ac:dyDescent="0.4">
      <c r="G1097" s="36"/>
      <c r="FV1097" s="24"/>
    </row>
    <row r="1098" spans="7:178" x14ac:dyDescent="0.4">
      <c r="G1098" s="36"/>
      <c r="FV1098" s="24"/>
    </row>
    <row r="1099" spans="7:178" x14ac:dyDescent="0.4">
      <c r="G1099" s="36"/>
      <c r="FV1099" s="24"/>
    </row>
    <row r="1100" spans="7:178" x14ac:dyDescent="0.4">
      <c r="G1100" s="36"/>
      <c r="FV1100" s="24"/>
    </row>
    <row r="1101" spans="7:178" x14ac:dyDescent="0.4">
      <c r="G1101" s="36"/>
      <c r="FV1101" s="24"/>
    </row>
    <row r="1102" spans="7:178" x14ac:dyDescent="0.4">
      <c r="G1102" s="36"/>
      <c r="FV1102" s="24"/>
    </row>
    <row r="1103" spans="7:178" x14ac:dyDescent="0.4">
      <c r="G1103" s="36"/>
      <c r="FV1103" s="24"/>
    </row>
    <row r="1104" spans="7:178" x14ac:dyDescent="0.4">
      <c r="G1104" s="36"/>
      <c r="FV1104" s="24"/>
    </row>
    <row r="1105" spans="7:178" x14ac:dyDescent="0.4">
      <c r="G1105" s="36"/>
      <c r="FV1105" s="24"/>
    </row>
    <row r="1106" spans="7:178" x14ac:dyDescent="0.4">
      <c r="G1106" s="36"/>
      <c r="FV1106" s="24"/>
    </row>
    <row r="1107" spans="7:178" x14ac:dyDescent="0.4">
      <c r="G1107" s="36"/>
      <c r="FV1107" s="24"/>
    </row>
    <row r="1108" spans="7:178" x14ac:dyDescent="0.4">
      <c r="G1108" s="36"/>
      <c r="FV1108" s="24"/>
    </row>
    <row r="1109" spans="7:178" x14ac:dyDescent="0.4">
      <c r="G1109" s="36"/>
      <c r="FV1109" s="24"/>
    </row>
    <row r="1110" spans="7:178" x14ac:dyDescent="0.4">
      <c r="G1110" s="36"/>
      <c r="FV1110" s="24"/>
    </row>
    <row r="1111" spans="7:178" x14ac:dyDescent="0.4">
      <c r="G1111" s="36"/>
      <c r="BH1111" s="31"/>
      <c r="FV1111" s="24"/>
    </row>
    <row r="1112" spans="7:178" x14ac:dyDescent="0.4">
      <c r="G1112" s="36"/>
      <c r="FV1112" s="24"/>
    </row>
    <row r="1113" spans="7:178" x14ac:dyDescent="0.4">
      <c r="G1113" s="36"/>
      <c r="FV1113" s="24"/>
    </row>
    <row r="1114" spans="7:178" x14ac:dyDescent="0.4">
      <c r="G1114" s="36"/>
      <c r="FV1114" s="24"/>
    </row>
    <row r="1115" spans="7:178" x14ac:dyDescent="0.4">
      <c r="G1115" s="36"/>
      <c r="FV1115" s="24"/>
    </row>
    <row r="1116" spans="7:178" x14ac:dyDescent="0.4">
      <c r="G1116" s="36"/>
      <c r="FV1116" s="24"/>
    </row>
    <row r="1117" spans="7:178" x14ac:dyDescent="0.4">
      <c r="G1117" s="36"/>
      <c r="FV1117" s="24"/>
    </row>
    <row r="1118" spans="7:178" x14ac:dyDescent="0.4">
      <c r="G1118" s="36"/>
      <c r="FV1118" s="24"/>
    </row>
    <row r="1119" spans="7:178" x14ac:dyDescent="0.4">
      <c r="G1119" s="36"/>
      <c r="FV1119" s="24"/>
    </row>
    <row r="1120" spans="7:178" x14ac:dyDescent="0.4">
      <c r="G1120" s="36"/>
      <c r="FV1120" s="24"/>
    </row>
    <row r="1121" spans="7:178" x14ac:dyDescent="0.4">
      <c r="G1121" s="36"/>
      <c r="FV1121" s="24"/>
    </row>
    <row r="1122" spans="7:178" x14ac:dyDescent="0.4">
      <c r="G1122" s="36"/>
      <c r="FV1122" s="24"/>
    </row>
    <row r="1123" spans="7:178" x14ac:dyDescent="0.4">
      <c r="G1123" s="36"/>
      <c r="FV1123" s="24"/>
    </row>
    <row r="1124" spans="7:178" x14ac:dyDescent="0.4">
      <c r="G1124" s="36"/>
      <c r="FV1124" s="24"/>
    </row>
    <row r="1125" spans="7:178" x14ac:dyDescent="0.4">
      <c r="G1125" s="36"/>
      <c r="FV1125" s="24"/>
    </row>
    <row r="1126" spans="7:178" x14ac:dyDescent="0.4">
      <c r="G1126" s="36"/>
      <c r="FV1126" s="24"/>
    </row>
    <row r="1127" spans="7:178" x14ac:dyDescent="0.4">
      <c r="G1127" s="36"/>
      <c r="FV1127" s="24"/>
    </row>
    <row r="1128" spans="7:178" x14ac:dyDescent="0.4">
      <c r="G1128" s="36"/>
      <c r="FV1128" s="24"/>
    </row>
    <row r="1129" spans="7:178" x14ac:dyDescent="0.4">
      <c r="G1129" s="36"/>
      <c r="FV1129" s="24"/>
    </row>
    <row r="1130" spans="7:178" x14ac:dyDescent="0.4">
      <c r="G1130" s="36"/>
      <c r="FV1130" s="24"/>
    </row>
    <row r="1131" spans="7:178" x14ac:dyDescent="0.4">
      <c r="G1131" s="36"/>
      <c r="FV1131" s="24"/>
    </row>
    <row r="1132" spans="7:178" x14ac:dyDescent="0.4">
      <c r="G1132" s="36"/>
      <c r="FV1132" s="24"/>
    </row>
    <row r="1133" spans="7:178" x14ac:dyDescent="0.4">
      <c r="G1133" s="36"/>
      <c r="FV1133" s="24"/>
    </row>
    <row r="1134" spans="7:178" x14ac:dyDescent="0.4">
      <c r="G1134" s="36"/>
      <c r="FV1134" s="24"/>
    </row>
    <row r="1135" spans="7:178" x14ac:dyDescent="0.4">
      <c r="G1135" s="36"/>
      <c r="FV1135" s="24"/>
    </row>
    <row r="1136" spans="7:178" x14ac:dyDescent="0.4">
      <c r="G1136" s="36"/>
      <c r="FV1136" s="24"/>
    </row>
    <row r="1137" spans="7:178" x14ac:dyDescent="0.4">
      <c r="G1137" s="36"/>
      <c r="FV1137" s="24"/>
    </row>
    <row r="1138" spans="7:178" x14ac:dyDescent="0.4">
      <c r="G1138" s="36"/>
      <c r="FV1138" s="24"/>
    </row>
    <row r="1139" spans="7:178" x14ac:dyDescent="0.4">
      <c r="G1139" s="36"/>
      <c r="FV1139" s="24"/>
    </row>
    <row r="1140" spans="7:178" x14ac:dyDescent="0.4">
      <c r="G1140" s="36"/>
      <c r="FV1140" s="24"/>
    </row>
    <row r="1141" spans="7:178" x14ac:dyDescent="0.4">
      <c r="G1141" s="36"/>
      <c r="FV1141" s="24"/>
    </row>
    <row r="1142" spans="7:178" x14ac:dyDescent="0.4">
      <c r="G1142" s="36"/>
      <c r="FV1142" s="24"/>
    </row>
    <row r="1143" spans="7:178" x14ac:dyDescent="0.4">
      <c r="G1143" s="36"/>
      <c r="FV1143" s="24"/>
    </row>
    <row r="1144" spans="7:178" x14ac:dyDescent="0.4">
      <c r="G1144" s="36"/>
      <c r="FV1144" s="24"/>
    </row>
    <row r="1145" spans="7:178" x14ac:dyDescent="0.4">
      <c r="G1145" s="36"/>
      <c r="FV1145" s="24"/>
    </row>
    <row r="1146" spans="7:178" x14ac:dyDescent="0.4">
      <c r="G1146" s="36"/>
      <c r="FV1146" s="24"/>
    </row>
    <row r="1147" spans="7:178" x14ac:dyDescent="0.4">
      <c r="G1147" s="36"/>
      <c r="FV1147" s="24"/>
    </row>
    <row r="1148" spans="7:178" x14ac:dyDescent="0.4">
      <c r="G1148" s="36"/>
      <c r="FV1148" s="24"/>
    </row>
    <row r="1149" spans="7:178" x14ac:dyDescent="0.4">
      <c r="G1149" s="36"/>
      <c r="FV1149" s="24"/>
    </row>
    <row r="1150" spans="7:178" x14ac:dyDescent="0.4">
      <c r="G1150" s="36"/>
      <c r="FV1150" s="24"/>
    </row>
    <row r="1151" spans="7:178" x14ac:dyDescent="0.4">
      <c r="G1151" s="36"/>
      <c r="FV1151" s="24"/>
    </row>
    <row r="1152" spans="7:178" x14ac:dyDescent="0.4">
      <c r="G1152" s="36"/>
      <c r="FV1152" s="24"/>
    </row>
    <row r="1153" spans="7:178" x14ac:dyDescent="0.4">
      <c r="G1153" s="36"/>
      <c r="FV1153" s="24"/>
    </row>
    <row r="1154" spans="7:178" x14ac:dyDescent="0.4">
      <c r="G1154" s="36"/>
      <c r="FV1154" s="24"/>
    </row>
    <row r="1155" spans="7:178" x14ac:dyDescent="0.4">
      <c r="G1155" s="36"/>
      <c r="FV1155" s="24"/>
    </row>
    <row r="1156" spans="7:178" x14ac:dyDescent="0.4">
      <c r="G1156" s="36"/>
      <c r="FV1156" s="24"/>
    </row>
    <row r="1157" spans="7:178" x14ac:dyDescent="0.4">
      <c r="G1157" s="36"/>
      <c r="FV1157" s="24"/>
    </row>
    <row r="1158" spans="7:178" x14ac:dyDescent="0.4">
      <c r="G1158" s="36"/>
      <c r="FV1158" s="24"/>
    </row>
    <row r="1159" spans="7:178" x14ac:dyDescent="0.4">
      <c r="G1159" s="36"/>
      <c r="FV1159" s="24"/>
    </row>
    <row r="1160" spans="7:178" x14ac:dyDescent="0.4">
      <c r="G1160" s="36"/>
      <c r="FV1160" s="24"/>
    </row>
    <row r="1161" spans="7:178" x14ac:dyDescent="0.4">
      <c r="G1161" s="36"/>
      <c r="FV1161" s="24"/>
    </row>
    <row r="1162" spans="7:178" x14ac:dyDescent="0.4">
      <c r="G1162" s="36"/>
      <c r="FV1162" s="24"/>
    </row>
    <row r="1163" spans="7:178" x14ac:dyDescent="0.4">
      <c r="G1163" s="36"/>
      <c r="FV1163" s="24"/>
    </row>
    <row r="1164" spans="7:178" x14ac:dyDescent="0.4">
      <c r="G1164" s="36"/>
      <c r="FV1164" s="24"/>
    </row>
    <row r="1165" spans="7:178" x14ac:dyDescent="0.4">
      <c r="G1165" s="36"/>
      <c r="FV1165" s="24"/>
    </row>
    <row r="1166" spans="7:178" x14ac:dyDescent="0.4">
      <c r="G1166" s="36"/>
      <c r="FV1166" s="24"/>
    </row>
    <row r="1167" spans="7:178" x14ac:dyDescent="0.4">
      <c r="G1167" s="36"/>
      <c r="FV1167" s="24"/>
    </row>
    <row r="1168" spans="7:178" x14ac:dyDescent="0.4">
      <c r="G1168" s="36"/>
      <c r="FV1168" s="24"/>
    </row>
    <row r="1169" spans="7:178" x14ac:dyDescent="0.4">
      <c r="G1169" s="36"/>
      <c r="FV1169" s="24"/>
    </row>
    <row r="1170" spans="7:178" x14ac:dyDescent="0.4">
      <c r="G1170" s="36"/>
      <c r="FV1170" s="24"/>
    </row>
    <row r="1171" spans="7:178" x14ac:dyDescent="0.4">
      <c r="G1171" s="36"/>
      <c r="FV1171" s="24"/>
    </row>
    <row r="1172" spans="7:178" x14ac:dyDescent="0.4">
      <c r="G1172" s="36"/>
      <c r="FV1172" s="24"/>
    </row>
    <row r="1173" spans="7:178" x14ac:dyDescent="0.4">
      <c r="G1173" s="36"/>
      <c r="FV1173" s="24"/>
    </row>
    <row r="1174" spans="7:178" x14ac:dyDescent="0.4">
      <c r="G1174" s="36"/>
      <c r="FV1174" s="24"/>
    </row>
    <row r="1175" spans="7:178" x14ac:dyDescent="0.4">
      <c r="G1175" s="36"/>
      <c r="FV1175" s="24"/>
    </row>
    <row r="1176" spans="7:178" x14ac:dyDescent="0.4">
      <c r="G1176" s="36"/>
      <c r="FV1176" s="24"/>
    </row>
    <row r="1177" spans="7:178" x14ac:dyDescent="0.4">
      <c r="G1177" s="36"/>
      <c r="FV1177" s="24"/>
    </row>
    <row r="1178" spans="7:178" x14ac:dyDescent="0.4">
      <c r="G1178" s="36"/>
      <c r="FV1178" s="24"/>
    </row>
    <row r="1179" spans="7:178" x14ac:dyDescent="0.4">
      <c r="G1179" s="36"/>
      <c r="FV1179" s="24"/>
    </row>
    <row r="1180" spans="7:178" x14ac:dyDescent="0.4">
      <c r="G1180" s="36"/>
      <c r="FV1180" s="24"/>
    </row>
    <row r="1181" spans="7:178" x14ac:dyDescent="0.4">
      <c r="G1181" s="36"/>
      <c r="FV1181" s="24"/>
    </row>
    <row r="1182" spans="7:178" x14ac:dyDescent="0.4">
      <c r="G1182" s="36"/>
      <c r="FV1182" s="24"/>
    </row>
    <row r="1183" spans="7:178" x14ac:dyDescent="0.4">
      <c r="G1183" s="36"/>
      <c r="FV1183" s="24"/>
    </row>
    <row r="1184" spans="7:178" x14ac:dyDescent="0.4">
      <c r="G1184" s="36"/>
      <c r="FV1184" s="24"/>
    </row>
    <row r="1185" spans="7:178" x14ac:dyDescent="0.4">
      <c r="G1185" s="36"/>
      <c r="FV1185" s="24"/>
    </row>
    <row r="1186" spans="7:178" x14ac:dyDescent="0.4">
      <c r="G1186" s="36"/>
      <c r="FV1186" s="24"/>
    </row>
    <row r="1187" spans="7:178" x14ac:dyDescent="0.4">
      <c r="G1187" s="36"/>
      <c r="FV1187" s="24"/>
    </row>
    <row r="1188" spans="7:178" x14ac:dyDescent="0.4">
      <c r="G1188" s="36"/>
      <c r="FV1188" s="24"/>
    </row>
    <row r="1189" spans="7:178" x14ac:dyDescent="0.4">
      <c r="G1189" s="36"/>
      <c r="FV1189" s="24"/>
    </row>
    <row r="1190" spans="7:178" x14ac:dyDescent="0.4">
      <c r="G1190" s="36"/>
      <c r="FV1190" s="24"/>
    </row>
    <row r="1191" spans="7:178" x14ac:dyDescent="0.4">
      <c r="G1191" s="36"/>
      <c r="FV1191" s="24"/>
    </row>
    <row r="1192" spans="7:178" x14ac:dyDescent="0.4">
      <c r="G1192" s="36"/>
      <c r="FV1192" s="24"/>
    </row>
    <row r="1193" spans="7:178" x14ac:dyDescent="0.4">
      <c r="G1193" s="36"/>
      <c r="FV1193" s="24"/>
    </row>
    <row r="1194" spans="7:178" x14ac:dyDescent="0.4">
      <c r="G1194" s="36"/>
      <c r="FV1194" s="24"/>
    </row>
    <row r="1195" spans="7:178" x14ac:dyDescent="0.4">
      <c r="G1195" s="36"/>
      <c r="FV1195" s="24"/>
    </row>
    <row r="1196" spans="7:178" x14ac:dyDescent="0.4">
      <c r="G1196" s="36"/>
      <c r="FV1196" s="24"/>
    </row>
    <row r="1197" spans="7:178" x14ac:dyDescent="0.4">
      <c r="G1197" s="36"/>
      <c r="FV1197" s="24"/>
    </row>
    <row r="1198" spans="7:178" x14ac:dyDescent="0.4">
      <c r="G1198" s="36"/>
      <c r="FV1198" s="24"/>
    </row>
    <row r="1199" spans="7:178" x14ac:dyDescent="0.4">
      <c r="G1199" s="36"/>
      <c r="FV1199" s="24"/>
    </row>
    <row r="1200" spans="7:178" x14ac:dyDescent="0.4">
      <c r="G1200" s="36"/>
      <c r="FV1200" s="24"/>
    </row>
    <row r="1201" spans="7:178" x14ac:dyDescent="0.4">
      <c r="G1201" s="36"/>
      <c r="FV1201" s="24"/>
    </row>
    <row r="1202" spans="7:178" x14ac:dyDescent="0.4">
      <c r="G1202" s="36"/>
      <c r="FV1202" s="24"/>
    </row>
    <row r="1203" spans="7:178" x14ac:dyDescent="0.4">
      <c r="G1203" s="36"/>
      <c r="FV1203" s="24"/>
    </row>
    <row r="1204" spans="7:178" x14ac:dyDescent="0.4">
      <c r="G1204" s="36"/>
      <c r="FV1204" s="24"/>
    </row>
    <row r="1205" spans="7:178" x14ac:dyDescent="0.4">
      <c r="G1205" s="36"/>
      <c r="FV1205" s="24"/>
    </row>
    <row r="1206" spans="7:178" x14ac:dyDescent="0.4">
      <c r="G1206" s="36"/>
      <c r="FV1206" s="24"/>
    </row>
    <row r="1207" spans="7:178" x14ac:dyDescent="0.4">
      <c r="G1207" s="36"/>
      <c r="FV1207" s="24"/>
    </row>
    <row r="1208" spans="7:178" x14ac:dyDescent="0.4">
      <c r="G1208" s="36"/>
      <c r="FV1208" s="24"/>
    </row>
    <row r="1209" spans="7:178" x14ac:dyDescent="0.4">
      <c r="G1209" s="36"/>
      <c r="FV1209" s="24"/>
    </row>
    <row r="1210" spans="7:178" x14ac:dyDescent="0.4">
      <c r="G1210" s="36"/>
      <c r="FV1210" s="24"/>
    </row>
    <row r="1211" spans="7:178" x14ac:dyDescent="0.4">
      <c r="G1211" s="36"/>
      <c r="FV1211" s="24"/>
    </row>
    <row r="1212" spans="7:178" x14ac:dyDescent="0.4">
      <c r="G1212" s="36"/>
      <c r="FV1212" s="24"/>
    </row>
    <row r="1213" spans="7:178" x14ac:dyDescent="0.4">
      <c r="G1213" s="36"/>
      <c r="FV1213" s="24"/>
    </row>
    <row r="1214" spans="7:178" x14ac:dyDescent="0.4">
      <c r="G1214" s="36"/>
      <c r="FV1214" s="24"/>
    </row>
    <row r="1215" spans="7:178" x14ac:dyDescent="0.4">
      <c r="G1215" s="36"/>
      <c r="FV1215" s="24"/>
    </row>
    <row r="1216" spans="7:178" x14ac:dyDescent="0.4">
      <c r="G1216" s="36"/>
      <c r="FV1216" s="24"/>
    </row>
    <row r="1217" spans="7:178" x14ac:dyDescent="0.4">
      <c r="G1217" s="36"/>
      <c r="FV1217" s="24"/>
    </row>
    <row r="1218" spans="7:178" x14ac:dyDescent="0.4">
      <c r="G1218" s="36"/>
      <c r="FV1218" s="24"/>
    </row>
    <row r="1219" spans="7:178" x14ac:dyDescent="0.4">
      <c r="G1219" s="36"/>
      <c r="FV1219" s="24"/>
    </row>
    <row r="1220" spans="7:178" x14ac:dyDescent="0.4">
      <c r="G1220" s="36"/>
      <c r="FV1220" s="24"/>
    </row>
    <row r="1221" spans="7:178" x14ac:dyDescent="0.4">
      <c r="G1221" s="36"/>
      <c r="FV1221" s="24"/>
    </row>
    <row r="1222" spans="7:178" x14ac:dyDescent="0.4">
      <c r="G1222" s="36"/>
      <c r="FV1222" s="24"/>
    </row>
    <row r="1223" spans="7:178" x14ac:dyDescent="0.4">
      <c r="G1223" s="36"/>
      <c r="FV1223" s="24"/>
    </row>
    <row r="1224" spans="7:178" x14ac:dyDescent="0.4">
      <c r="G1224" s="36"/>
      <c r="FV1224" s="24"/>
    </row>
    <row r="1225" spans="7:178" x14ac:dyDescent="0.4">
      <c r="G1225" s="36"/>
      <c r="FV1225" s="24"/>
    </row>
    <row r="1226" spans="7:178" x14ac:dyDescent="0.4">
      <c r="G1226" s="36"/>
      <c r="FV1226" s="24"/>
    </row>
    <row r="1227" spans="7:178" x14ac:dyDescent="0.4">
      <c r="G1227" s="36"/>
      <c r="FV1227" s="24"/>
    </row>
    <row r="1228" spans="7:178" x14ac:dyDescent="0.4">
      <c r="G1228" s="36"/>
      <c r="FV1228" s="24"/>
    </row>
    <row r="1229" spans="7:178" x14ac:dyDescent="0.4">
      <c r="G1229" s="36"/>
      <c r="FV1229" s="24"/>
    </row>
    <row r="1230" spans="7:178" x14ac:dyDescent="0.4">
      <c r="G1230" s="36"/>
      <c r="FV1230" s="24"/>
    </row>
    <row r="1231" spans="7:178" x14ac:dyDescent="0.4">
      <c r="G1231" s="36"/>
      <c r="FV1231" s="24"/>
    </row>
    <row r="1232" spans="7:178" x14ac:dyDescent="0.4">
      <c r="G1232" s="36"/>
      <c r="FV1232" s="24"/>
    </row>
    <row r="1233" spans="7:178" x14ac:dyDescent="0.4">
      <c r="G1233" s="36"/>
      <c r="FV1233" s="24"/>
    </row>
    <row r="1234" spans="7:178" x14ac:dyDescent="0.4">
      <c r="G1234" s="36"/>
      <c r="FV1234" s="24"/>
    </row>
    <row r="1235" spans="7:178" x14ac:dyDescent="0.4">
      <c r="G1235" s="36"/>
      <c r="FV1235" s="24"/>
    </row>
    <row r="1236" spans="7:178" x14ac:dyDescent="0.4">
      <c r="G1236" s="36"/>
      <c r="FV1236" s="24"/>
    </row>
    <row r="1237" spans="7:178" x14ac:dyDescent="0.4">
      <c r="G1237" s="36"/>
      <c r="FV1237" s="24"/>
    </row>
    <row r="1238" spans="7:178" x14ac:dyDescent="0.4">
      <c r="G1238" s="36"/>
      <c r="FV1238" s="24"/>
    </row>
    <row r="1239" spans="7:178" x14ac:dyDescent="0.4">
      <c r="G1239" s="36"/>
      <c r="FV1239" s="24"/>
    </row>
    <row r="1240" spans="7:178" x14ac:dyDescent="0.4">
      <c r="G1240" s="36"/>
      <c r="FV1240" s="24"/>
    </row>
    <row r="1241" spans="7:178" x14ac:dyDescent="0.4">
      <c r="G1241" s="36"/>
      <c r="FV1241" s="24"/>
    </row>
    <row r="1242" spans="7:178" x14ac:dyDescent="0.4">
      <c r="G1242" s="36"/>
      <c r="FV1242" s="24"/>
    </row>
    <row r="1243" spans="7:178" x14ac:dyDescent="0.4">
      <c r="G1243" s="36"/>
      <c r="FV1243" s="24"/>
    </row>
    <row r="1244" spans="7:178" x14ac:dyDescent="0.4">
      <c r="G1244" s="36"/>
      <c r="FV1244" s="24"/>
    </row>
    <row r="1245" spans="7:178" x14ac:dyDescent="0.4">
      <c r="G1245" s="36"/>
      <c r="FV1245" s="24"/>
    </row>
    <row r="1246" spans="7:178" x14ac:dyDescent="0.4">
      <c r="G1246" s="36"/>
      <c r="FV1246" s="24"/>
    </row>
    <row r="1247" spans="7:178" x14ac:dyDescent="0.4">
      <c r="G1247" s="36"/>
      <c r="FV1247" s="24"/>
    </row>
    <row r="1248" spans="7:178" x14ac:dyDescent="0.4">
      <c r="G1248" s="36"/>
      <c r="FV1248" s="24"/>
    </row>
    <row r="1249" spans="7:178" x14ac:dyDescent="0.4">
      <c r="G1249" s="36"/>
      <c r="FV1249" s="24"/>
    </row>
    <row r="1250" spans="7:178" x14ac:dyDescent="0.4">
      <c r="G1250" s="36"/>
      <c r="FV1250" s="24"/>
    </row>
    <row r="1251" spans="7:178" x14ac:dyDescent="0.4">
      <c r="G1251" s="36"/>
      <c r="FV1251" s="24"/>
    </row>
    <row r="1252" spans="7:178" x14ac:dyDescent="0.4">
      <c r="G1252" s="36"/>
      <c r="FV1252" s="24"/>
    </row>
    <row r="1253" spans="7:178" x14ac:dyDescent="0.4">
      <c r="G1253" s="36"/>
      <c r="FV1253" s="24"/>
    </row>
    <row r="1254" spans="7:178" x14ac:dyDescent="0.4">
      <c r="G1254" s="36"/>
      <c r="FV1254" s="24"/>
    </row>
    <row r="1255" spans="7:178" x14ac:dyDescent="0.4">
      <c r="G1255" s="36"/>
      <c r="FV1255" s="24"/>
    </row>
    <row r="1256" spans="7:178" x14ac:dyDescent="0.4">
      <c r="G1256" s="36"/>
      <c r="FV1256" s="24"/>
    </row>
    <row r="1257" spans="7:178" x14ac:dyDescent="0.4">
      <c r="G1257" s="36"/>
      <c r="FV1257" s="24"/>
    </row>
    <row r="1258" spans="7:178" x14ac:dyDescent="0.4">
      <c r="G1258" s="36"/>
      <c r="FV1258" s="24"/>
    </row>
    <row r="1259" spans="7:178" x14ac:dyDescent="0.4">
      <c r="G1259" s="36"/>
      <c r="FV1259" s="24"/>
    </row>
    <row r="1260" spans="7:178" x14ac:dyDescent="0.4">
      <c r="G1260" s="36"/>
      <c r="FV1260" s="24"/>
    </row>
    <row r="1261" spans="7:178" x14ac:dyDescent="0.4">
      <c r="G1261" s="36"/>
      <c r="FV1261" s="24"/>
    </row>
    <row r="1262" spans="7:178" x14ac:dyDescent="0.4">
      <c r="G1262" s="36"/>
      <c r="FV1262" s="24"/>
    </row>
    <row r="1263" spans="7:178" x14ac:dyDescent="0.4">
      <c r="G1263" s="36"/>
      <c r="FV1263" s="24"/>
    </row>
    <row r="1264" spans="7:178" x14ac:dyDescent="0.4">
      <c r="G1264" s="36"/>
      <c r="FV1264" s="24"/>
    </row>
    <row r="1265" spans="7:178" x14ac:dyDescent="0.4">
      <c r="G1265" s="36"/>
      <c r="FV1265" s="24"/>
    </row>
    <row r="1266" spans="7:178" x14ac:dyDescent="0.4">
      <c r="G1266" s="36"/>
      <c r="FV1266" s="24"/>
    </row>
    <row r="1267" spans="7:178" x14ac:dyDescent="0.4">
      <c r="G1267" s="36"/>
      <c r="FV1267" s="24"/>
    </row>
    <row r="1268" spans="7:178" x14ac:dyDescent="0.4">
      <c r="G1268" s="36"/>
      <c r="FV1268" s="24"/>
    </row>
    <row r="1269" spans="7:178" x14ac:dyDescent="0.4">
      <c r="G1269" s="36"/>
      <c r="FV1269" s="24"/>
    </row>
    <row r="1270" spans="7:178" x14ac:dyDescent="0.4">
      <c r="G1270" s="36"/>
      <c r="FV1270" s="24"/>
    </row>
    <row r="1271" spans="7:178" x14ac:dyDescent="0.4">
      <c r="G1271" s="36"/>
      <c r="FV1271" s="24"/>
    </row>
    <row r="1272" spans="7:178" x14ac:dyDescent="0.4">
      <c r="G1272" s="36"/>
      <c r="FV1272" s="24"/>
    </row>
    <row r="1273" spans="7:178" x14ac:dyDescent="0.4">
      <c r="G1273" s="36"/>
      <c r="FV1273" s="24"/>
    </row>
    <row r="1274" spans="7:178" x14ac:dyDescent="0.4">
      <c r="G1274" s="36"/>
      <c r="FV1274" s="24"/>
    </row>
    <row r="1275" spans="7:178" x14ac:dyDescent="0.4">
      <c r="G1275" s="36"/>
      <c r="FV1275" s="24"/>
    </row>
    <row r="1276" spans="7:178" x14ac:dyDescent="0.4">
      <c r="G1276" s="36"/>
      <c r="FV1276" s="24"/>
    </row>
    <row r="1277" spans="7:178" x14ac:dyDescent="0.4">
      <c r="G1277" s="36"/>
      <c r="FV1277" s="24"/>
    </row>
    <row r="1278" spans="7:178" x14ac:dyDescent="0.4">
      <c r="G1278" s="36"/>
      <c r="FV1278" s="24"/>
    </row>
    <row r="1279" spans="7:178" x14ac:dyDescent="0.4">
      <c r="G1279" s="36"/>
      <c r="FV1279" s="24"/>
    </row>
    <row r="1280" spans="7:178" x14ac:dyDescent="0.4">
      <c r="G1280" s="36"/>
      <c r="FV1280" s="24"/>
    </row>
    <row r="1281" spans="7:178" x14ac:dyDescent="0.4">
      <c r="G1281" s="36"/>
      <c r="FV1281" s="24"/>
    </row>
    <row r="1282" spans="7:178" x14ac:dyDescent="0.4">
      <c r="G1282" s="36"/>
      <c r="FV1282" s="24"/>
    </row>
    <row r="1283" spans="7:178" x14ac:dyDescent="0.4">
      <c r="G1283" s="36"/>
      <c r="FV1283" s="24"/>
    </row>
    <row r="1284" spans="7:178" x14ac:dyDescent="0.4">
      <c r="G1284" s="36"/>
      <c r="FV1284" s="24"/>
    </row>
    <row r="1285" spans="7:178" x14ac:dyDescent="0.4">
      <c r="G1285" s="36"/>
      <c r="FV1285" s="24"/>
    </row>
    <row r="1286" spans="7:178" x14ac:dyDescent="0.4">
      <c r="G1286" s="36"/>
      <c r="FV1286" s="24"/>
    </row>
    <row r="1287" spans="7:178" x14ac:dyDescent="0.4">
      <c r="G1287" s="36"/>
      <c r="FV1287" s="24"/>
    </row>
    <row r="1288" spans="7:178" x14ac:dyDescent="0.4">
      <c r="G1288" s="36"/>
      <c r="FV1288" s="24"/>
    </row>
    <row r="1289" spans="7:178" x14ac:dyDescent="0.4">
      <c r="G1289" s="36"/>
      <c r="FV1289" s="24"/>
    </row>
    <row r="1290" spans="7:178" x14ac:dyDescent="0.4">
      <c r="G1290" s="36"/>
      <c r="FV1290" s="24"/>
    </row>
    <row r="1291" spans="7:178" x14ac:dyDescent="0.4">
      <c r="G1291" s="36"/>
      <c r="FV1291" s="24"/>
    </row>
    <row r="1292" spans="7:178" x14ac:dyDescent="0.4">
      <c r="G1292" s="36"/>
      <c r="FV1292" s="24"/>
    </row>
    <row r="1293" spans="7:178" x14ac:dyDescent="0.4">
      <c r="G1293" s="36"/>
      <c r="FV1293" s="24"/>
    </row>
    <row r="1294" spans="7:178" x14ac:dyDescent="0.4">
      <c r="G1294" s="36"/>
      <c r="FV1294" s="24"/>
    </row>
    <row r="1295" spans="7:178" x14ac:dyDescent="0.4">
      <c r="G1295" s="36"/>
      <c r="FV1295" s="24"/>
    </row>
    <row r="1296" spans="7:178" x14ac:dyDescent="0.4">
      <c r="G1296" s="36"/>
      <c r="FV1296" s="24"/>
    </row>
    <row r="1297" spans="7:178" x14ac:dyDescent="0.4">
      <c r="G1297" s="36"/>
      <c r="FV1297" s="24"/>
    </row>
    <row r="1298" spans="7:178" x14ac:dyDescent="0.4">
      <c r="G1298" s="36"/>
      <c r="FV1298" s="24"/>
    </row>
    <row r="1299" spans="7:178" x14ac:dyDescent="0.4">
      <c r="G1299" s="36"/>
      <c r="FV1299" s="24"/>
    </row>
    <row r="1300" spans="7:178" x14ac:dyDescent="0.4">
      <c r="G1300" s="36"/>
      <c r="FV1300" s="24"/>
    </row>
    <row r="1301" spans="7:178" x14ac:dyDescent="0.4">
      <c r="G1301" s="36"/>
      <c r="FV1301" s="24"/>
    </row>
    <row r="1302" spans="7:178" x14ac:dyDescent="0.4">
      <c r="G1302" s="36"/>
      <c r="FV1302" s="24"/>
    </row>
    <row r="1303" spans="7:178" x14ac:dyDescent="0.4">
      <c r="G1303" s="36"/>
      <c r="FV1303" s="24"/>
    </row>
    <row r="1304" spans="7:178" x14ac:dyDescent="0.4">
      <c r="G1304" s="36"/>
      <c r="FV1304" s="24"/>
    </row>
    <row r="1305" spans="7:178" x14ac:dyDescent="0.4">
      <c r="G1305" s="36"/>
      <c r="FV1305" s="24"/>
    </row>
    <row r="1306" spans="7:178" x14ac:dyDescent="0.4">
      <c r="G1306" s="36"/>
      <c r="FV1306" s="24"/>
    </row>
    <row r="1307" spans="7:178" x14ac:dyDescent="0.4">
      <c r="G1307" s="36"/>
      <c r="FV1307" s="24"/>
    </row>
    <row r="1308" spans="7:178" x14ac:dyDescent="0.4">
      <c r="G1308" s="36"/>
      <c r="FV1308" s="24"/>
    </row>
    <row r="1309" spans="7:178" x14ac:dyDescent="0.4">
      <c r="G1309" s="36"/>
      <c r="FV1309" s="24"/>
    </row>
    <row r="1310" spans="7:178" x14ac:dyDescent="0.4">
      <c r="G1310" s="36"/>
      <c r="FV1310" s="24"/>
    </row>
    <row r="1311" spans="7:178" x14ac:dyDescent="0.4">
      <c r="G1311" s="36"/>
      <c r="FV1311" s="24"/>
    </row>
    <row r="1312" spans="7:178" x14ac:dyDescent="0.4">
      <c r="G1312" s="36"/>
      <c r="FV1312" s="24"/>
    </row>
    <row r="1313" spans="7:178" x14ac:dyDescent="0.4">
      <c r="G1313" s="36"/>
      <c r="FV1313" s="24"/>
    </row>
    <row r="1314" spans="7:178" x14ac:dyDescent="0.4">
      <c r="G1314" s="36"/>
      <c r="FV1314" s="24"/>
    </row>
    <row r="1315" spans="7:178" x14ac:dyDescent="0.4">
      <c r="G1315" s="36"/>
      <c r="FV1315" s="24"/>
    </row>
    <row r="1316" spans="7:178" x14ac:dyDescent="0.4">
      <c r="G1316" s="36"/>
      <c r="FV1316" s="24"/>
    </row>
    <row r="1317" spans="7:178" x14ac:dyDescent="0.4">
      <c r="G1317" s="36"/>
      <c r="FV1317" s="24"/>
    </row>
    <row r="1318" spans="7:178" x14ac:dyDescent="0.4">
      <c r="G1318" s="36"/>
      <c r="FV1318" s="24"/>
    </row>
    <row r="1319" spans="7:178" x14ac:dyDescent="0.4">
      <c r="G1319" s="36"/>
      <c r="FV1319" s="24"/>
    </row>
    <row r="1320" spans="7:178" x14ac:dyDescent="0.4">
      <c r="G1320" s="36"/>
      <c r="FV1320" s="24"/>
    </row>
    <row r="1321" spans="7:178" x14ac:dyDescent="0.4">
      <c r="G1321" s="36"/>
      <c r="FV1321" s="24"/>
    </row>
    <row r="1322" spans="7:178" x14ac:dyDescent="0.4">
      <c r="G1322" s="36"/>
      <c r="FV1322" s="24"/>
    </row>
    <row r="1323" spans="7:178" x14ac:dyDescent="0.4">
      <c r="G1323" s="36"/>
      <c r="FV1323" s="24"/>
    </row>
    <row r="1324" spans="7:178" x14ac:dyDescent="0.4">
      <c r="G1324" s="36"/>
      <c r="FV1324" s="24"/>
    </row>
    <row r="1325" spans="7:178" x14ac:dyDescent="0.4">
      <c r="G1325" s="36"/>
      <c r="FV1325" s="24"/>
    </row>
    <row r="1326" spans="7:178" x14ac:dyDescent="0.4">
      <c r="G1326" s="36"/>
      <c r="FV1326" s="24"/>
    </row>
    <row r="1327" spans="7:178" x14ac:dyDescent="0.4">
      <c r="G1327" s="36"/>
      <c r="FV1327" s="24"/>
    </row>
    <row r="1328" spans="7:178" x14ac:dyDescent="0.4">
      <c r="G1328" s="36"/>
      <c r="FV1328" s="24"/>
    </row>
    <row r="1329" spans="7:178" x14ac:dyDescent="0.4">
      <c r="G1329" s="36"/>
      <c r="FV1329" s="24"/>
    </row>
    <row r="1330" spans="7:178" x14ac:dyDescent="0.4">
      <c r="G1330" s="36"/>
      <c r="FV1330" s="24"/>
    </row>
    <row r="1331" spans="7:178" x14ac:dyDescent="0.4">
      <c r="G1331" s="36"/>
      <c r="FV1331" s="24"/>
    </row>
    <row r="1332" spans="7:178" x14ac:dyDescent="0.4">
      <c r="G1332" s="36"/>
      <c r="FV1332" s="24"/>
    </row>
    <row r="1333" spans="7:178" x14ac:dyDescent="0.4">
      <c r="G1333" s="36"/>
      <c r="FV1333" s="24"/>
    </row>
    <row r="1334" spans="7:178" x14ac:dyDescent="0.4">
      <c r="G1334" s="36"/>
      <c r="FV1334" s="24"/>
    </row>
    <row r="1335" spans="7:178" x14ac:dyDescent="0.4">
      <c r="G1335" s="36"/>
      <c r="FV1335" s="24"/>
    </row>
    <row r="1336" spans="7:178" x14ac:dyDescent="0.4">
      <c r="G1336" s="36"/>
      <c r="FV1336" s="24"/>
    </row>
    <row r="1337" spans="7:178" x14ac:dyDescent="0.4">
      <c r="G1337" s="36"/>
      <c r="FV1337" s="24"/>
    </row>
    <row r="1338" spans="7:178" x14ac:dyDescent="0.4">
      <c r="G1338" s="36"/>
      <c r="FV1338" s="24"/>
    </row>
    <row r="1339" spans="7:178" x14ac:dyDescent="0.4">
      <c r="G1339" s="36"/>
      <c r="FV1339" s="24"/>
    </row>
    <row r="1340" spans="7:178" x14ac:dyDescent="0.4">
      <c r="G1340" s="36"/>
      <c r="FV1340" s="24"/>
    </row>
    <row r="1341" spans="7:178" x14ac:dyDescent="0.4">
      <c r="G1341" s="36"/>
      <c r="FV1341" s="24"/>
    </row>
    <row r="1342" spans="7:178" x14ac:dyDescent="0.4">
      <c r="G1342" s="36"/>
      <c r="FV1342" s="24"/>
    </row>
    <row r="1343" spans="7:178" x14ac:dyDescent="0.4">
      <c r="G1343" s="36"/>
      <c r="FV1343" s="24"/>
    </row>
    <row r="1344" spans="7:178" x14ac:dyDescent="0.4">
      <c r="G1344" s="36"/>
      <c r="FV1344" s="24"/>
    </row>
    <row r="1345" spans="7:178" x14ac:dyDescent="0.4">
      <c r="G1345" s="36"/>
      <c r="FV1345" s="24"/>
    </row>
    <row r="1346" spans="7:178" x14ac:dyDescent="0.4">
      <c r="G1346" s="36"/>
      <c r="FV1346" s="24"/>
    </row>
    <row r="1347" spans="7:178" x14ac:dyDescent="0.4">
      <c r="G1347" s="36"/>
      <c r="FV1347" s="24"/>
    </row>
    <row r="1348" spans="7:178" x14ac:dyDescent="0.4">
      <c r="G1348" s="36"/>
      <c r="FV1348" s="24"/>
    </row>
    <row r="1349" spans="7:178" x14ac:dyDescent="0.4">
      <c r="G1349" s="36"/>
      <c r="FV1349" s="24"/>
    </row>
    <row r="1350" spans="7:178" x14ac:dyDescent="0.4">
      <c r="G1350" s="36"/>
      <c r="FV1350" s="24"/>
    </row>
    <row r="1351" spans="7:178" x14ac:dyDescent="0.4">
      <c r="G1351" s="36"/>
      <c r="FV1351" s="24"/>
    </row>
    <row r="1352" spans="7:178" x14ac:dyDescent="0.4">
      <c r="G1352" s="36"/>
      <c r="FV1352" s="24"/>
    </row>
    <row r="1353" spans="7:178" x14ac:dyDescent="0.4">
      <c r="G1353" s="36"/>
      <c r="FV1353" s="24"/>
    </row>
    <row r="1354" spans="7:178" x14ac:dyDescent="0.4">
      <c r="G1354" s="36"/>
      <c r="FV1354" s="24"/>
    </row>
    <row r="1355" spans="7:178" x14ac:dyDescent="0.4">
      <c r="G1355" s="36"/>
      <c r="FV1355" s="24"/>
    </row>
    <row r="1356" spans="7:178" x14ac:dyDescent="0.4">
      <c r="G1356" s="36"/>
      <c r="FV1356" s="24"/>
    </row>
    <row r="1357" spans="7:178" x14ac:dyDescent="0.4">
      <c r="G1357" s="36"/>
      <c r="FV1357" s="24"/>
    </row>
    <row r="1358" spans="7:178" x14ac:dyDescent="0.4">
      <c r="G1358" s="36"/>
      <c r="FV1358" s="24"/>
    </row>
    <row r="1359" spans="7:178" x14ac:dyDescent="0.4">
      <c r="G1359" s="36"/>
      <c r="FV1359" s="24"/>
    </row>
    <row r="1360" spans="7:178" x14ac:dyDescent="0.4">
      <c r="G1360" s="36"/>
      <c r="FV1360" s="24"/>
    </row>
    <row r="1361" spans="7:178" x14ac:dyDescent="0.4">
      <c r="G1361" s="36"/>
      <c r="FV1361" s="24"/>
    </row>
    <row r="1362" spans="7:178" x14ac:dyDescent="0.4">
      <c r="G1362" s="36"/>
      <c r="FV1362" s="24"/>
    </row>
    <row r="1363" spans="7:178" x14ac:dyDescent="0.4">
      <c r="G1363" s="36"/>
      <c r="FV1363" s="24"/>
    </row>
    <row r="1364" spans="7:178" x14ac:dyDescent="0.4">
      <c r="G1364" s="36"/>
      <c r="FV1364" s="24"/>
    </row>
    <row r="1365" spans="7:178" x14ac:dyDescent="0.4">
      <c r="G1365" s="36"/>
      <c r="FV1365" s="24"/>
    </row>
    <row r="1366" spans="7:178" x14ac:dyDescent="0.4">
      <c r="G1366" s="36"/>
      <c r="FV1366" s="24"/>
    </row>
    <row r="1367" spans="7:178" x14ac:dyDescent="0.4">
      <c r="G1367" s="36"/>
      <c r="FV1367" s="24"/>
    </row>
    <row r="1368" spans="7:178" x14ac:dyDescent="0.4">
      <c r="G1368" s="36"/>
      <c r="FV1368" s="24"/>
    </row>
    <row r="1369" spans="7:178" x14ac:dyDescent="0.4">
      <c r="G1369" s="36"/>
      <c r="FV1369" s="24"/>
    </row>
    <row r="1370" spans="7:178" x14ac:dyDescent="0.4">
      <c r="G1370" s="36"/>
      <c r="FV1370" s="24"/>
    </row>
    <row r="1371" spans="7:178" x14ac:dyDescent="0.4">
      <c r="G1371" s="36"/>
      <c r="FV1371" s="24"/>
    </row>
    <row r="1372" spans="7:178" x14ac:dyDescent="0.4">
      <c r="G1372" s="36"/>
      <c r="FV1372" s="24"/>
    </row>
    <row r="1373" spans="7:178" x14ac:dyDescent="0.4">
      <c r="G1373" s="36"/>
      <c r="FV1373" s="24"/>
    </row>
    <row r="1374" spans="7:178" x14ac:dyDescent="0.4">
      <c r="G1374" s="36"/>
      <c r="FV1374" s="24"/>
    </row>
    <row r="1375" spans="7:178" x14ac:dyDescent="0.4">
      <c r="G1375" s="36"/>
      <c r="FV1375" s="24"/>
    </row>
    <row r="1376" spans="7:178" x14ac:dyDescent="0.4">
      <c r="G1376" s="36"/>
      <c r="FV1376" s="24"/>
    </row>
    <row r="1377" spans="7:178" x14ac:dyDescent="0.4">
      <c r="G1377" s="36"/>
      <c r="FV1377" s="24"/>
    </row>
    <row r="1378" spans="7:178" x14ac:dyDescent="0.4">
      <c r="G1378" s="36"/>
      <c r="FV1378" s="24"/>
    </row>
    <row r="1379" spans="7:178" x14ac:dyDescent="0.4">
      <c r="G1379" s="36"/>
      <c r="FV1379" s="24"/>
    </row>
    <row r="1380" spans="7:178" x14ac:dyDescent="0.4">
      <c r="G1380" s="36"/>
      <c r="FV1380" s="24"/>
    </row>
    <row r="1381" spans="7:178" x14ac:dyDescent="0.4">
      <c r="G1381" s="36"/>
      <c r="FV1381" s="24"/>
    </row>
    <row r="1382" spans="7:178" x14ac:dyDescent="0.4">
      <c r="G1382" s="36"/>
      <c r="FV1382" s="24"/>
    </row>
    <row r="1383" spans="7:178" x14ac:dyDescent="0.4">
      <c r="G1383" s="36"/>
      <c r="FV1383" s="24"/>
    </row>
    <row r="1384" spans="7:178" x14ac:dyDescent="0.4">
      <c r="G1384" s="36"/>
      <c r="FV1384" s="24"/>
    </row>
    <row r="1385" spans="7:178" x14ac:dyDescent="0.4">
      <c r="G1385" s="36"/>
      <c r="FV1385" s="24"/>
    </row>
    <row r="1386" spans="7:178" x14ac:dyDescent="0.4">
      <c r="G1386" s="36"/>
      <c r="FV1386" s="24"/>
    </row>
    <row r="1387" spans="7:178" x14ac:dyDescent="0.4">
      <c r="G1387" s="36"/>
      <c r="FV1387" s="24"/>
    </row>
    <row r="1388" spans="7:178" x14ac:dyDescent="0.4">
      <c r="G1388" s="36"/>
      <c r="FV1388" s="24"/>
    </row>
    <row r="1389" spans="7:178" x14ac:dyDescent="0.4">
      <c r="G1389" s="36"/>
      <c r="FV1389" s="24"/>
    </row>
    <row r="1390" spans="7:178" x14ac:dyDescent="0.4">
      <c r="G1390" s="36"/>
      <c r="FV1390" s="24"/>
    </row>
    <row r="1391" spans="7:178" x14ac:dyDescent="0.4">
      <c r="G1391" s="36"/>
      <c r="FV1391" s="24"/>
    </row>
    <row r="1392" spans="7:178" x14ac:dyDescent="0.4">
      <c r="G1392" s="36"/>
      <c r="FV1392" s="24"/>
    </row>
    <row r="1393" spans="7:178" x14ac:dyDescent="0.4">
      <c r="G1393" s="36"/>
      <c r="FV1393" s="24"/>
    </row>
    <row r="1394" spans="7:178" x14ac:dyDescent="0.4">
      <c r="G1394" s="36"/>
      <c r="FV1394" s="24"/>
    </row>
    <row r="1395" spans="7:178" x14ac:dyDescent="0.4">
      <c r="G1395" s="36"/>
      <c r="FV1395" s="24"/>
    </row>
    <row r="1396" spans="7:178" x14ac:dyDescent="0.4">
      <c r="G1396" s="36"/>
      <c r="FV1396" s="24"/>
    </row>
    <row r="1397" spans="7:178" x14ac:dyDescent="0.4">
      <c r="G1397" s="36"/>
      <c r="FV1397" s="24"/>
    </row>
    <row r="1398" spans="7:178" x14ac:dyDescent="0.4">
      <c r="G1398" s="36"/>
      <c r="FV1398" s="24"/>
    </row>
    <row r="1399" spans="7:178" x14ac:dyDescent="0.4">
      <c r="G1399" s="36"/>
      <c r="FV1399" s="24"/>
    </row>
    <row r="1400" spans="7:178" x14ac:dyDescent="0.4">
      <c r="G1400" s="36"/>
      <c r="FV1400" s="24"/>
    </row>
    <row r="1401" spans="7:178" x14ac:dyDescent="0.4">
      <c r="G1401" s="36"/>
      <c r="FV1401" s="24"/>
    </row>
    <row r="1402" spans="7:178" x14ac:dyDescent="0.4">
      <c r="G1402" s="36"/>
      <c r="FV1402" s="24"/>
    </row>
    <row r="1403" spans="7:178" x14ac:dyDescent="0.4">
      <c r="G1403" s="36"/>
      <c r="FV1403" s="24"/>
    </row>
    <row r="1404" spans="7:178" x14ac:dyDescent="0.4">
      <c r="G1404" s="36"/>
      <c r="FV1404" s="24"/>
    </row>
    <row r="1405" spans="7:178" x14ac:dyDescent="0.4">
      <c r="G1405" s="36"/>
      <c r="FV1405" s="24"/>
    </row>
    <row r="1406" spans="7:178" x14ac:dyDescent="0.4">
      <c r="G1406" s="36"/>
      <c r="FV1406" s="24"/>
    </row>
    <row r="1407" spans="7:178" x14ac:dyDescent="0.4">
      <c r="G1407" s="36"/>
      <c r="FV1407" s="24"/>
    </row>
    <row r="1408" spans="7:178" x14ac:dyDescent="0.4">
      <c r="G1408" s="36"/>
      <c r="FV1408" s="24"/>
    </row>
    <row r="1409" spans="7:178" x14ac:dyDescent="0.4">
      <c r="G1409" s="36"/>
      <c r="FV1409" s="24"/>
    </row>
    <row r="1410" spans="7:178" x14ac:dyDescent="0.4">
      <c r="G1410" s="36"/>
      <c r="FV1410" s="24"/>
    </row>
    <row r="1411" spans="7:178" x14ac:dyDescent="0.4">
      <c r="G1411" s="36"/>
      <c r="FV1411" s="24"/>
    </row>
    <row r="1412" spans="7:178" x14ac:dyDescent="0.4">
      <c r="G1412" s="36"/>
      <c r="FV1412" s="24"/>
    </row>
    <row r="1413" spans="7:178" x14ac:dyDescent="0.4">
      <c r="G1413" s="36"/>
      <c r="FV1413" s="24"/>
    </row>
    <row r="1414" spans="7:178" x14ac:dyDescent="0.4">
      <c r="G1414" s="36"/>
      <c r="FV1414" s="24"/>
    </row>
    <row r="1415" spans="7:178" x14ac:dyDescent="0.4">
      <c r="G1415" s="36"/>
      <c r="FV1415" s="24"/>
    </row>
    <row r="1416" spans="7:178" x14ac:dyDescent="0.4">
      <c r="G1416" s="36"/>
      <c r="FV1416" s="24"/>
    </row>
    <row r="1417" spans="7:178" x14ac:dyDescent="0.4">
      <c r="G1417" s="36"/>
      <c r="FV1417" s="24"/>
    </row>
    <row r="1418" spans="7:178" x14ac:dyDescent="0.4">
      <c r="G1418" s="36"/>
      <c r="FV1418" s="24"/>
    </row>
    <row r="1419" spans="7:178" x14ac:dyDescent="0.4">
      <c r="G1419" s="36"/>
      <c r="FV1419" s="24"/>
    </row>
    <row r="1420" spans="7:178" x14ac:dyDescent="0.4">
      <c r="G1420" s="36"/>
      <c r="FV1420" s="24"/>
    </row>
    <row r="1421" spans="7:178" x14ac:dyDescent="0.4">
      <c r="G1421" s="36"/>
      <c r="FV1421" s="24"/>
    </row>
    <row r="1422" spans="7:178" x14ac:dyDescent="0.4">
      <c r="G1422" s="36"/>
      <c r="FV1422" s="24"/>
    </row>
    <row r="1423" spans="7:178" x14ac:dyDescent="0.4">
      <c r="G1423" s="36"/>
      <c r="FV1423" s="24"/>
    </row>
    <row r="1424" spans="7:178" x14ac:dyDescent="0.4">
      <c r="G1424" s="36"/>
      <c r="FV1424" s="24"/>
    </row>
    <row r="1425" spans="7:178" x14ac:dyDescent="0.4">
      <c r="G1425" s="36"/>
      <c r="FV1425" s="24"/>
    </row>
    <row r="1426" spans="7:178" x14ac:dyDescent="0.4">
      <c r="G1426" s="36"/>
      <c r="FV1426" s="24"/>
    </row>
    <row r="1427" spans="7:178" x14ac:dyDescent="0.4">
      <c r="G1427" s="36"/>
      <c r="FV1427" s="24"/>
    </row>
    <row r="1428" spans="7:178" x14ac:dyDescent="0.4">
      <c r="G1428" s="36"/>
      <c r="FV1428" s="24"/>
    </row>
    <row r="1429" spans="7:178" x14ac:dyDescent="0.4">
      <c r="G1429" s="36"/>
      <c r="FV1429" s="24"/>
    </row>
    <row r="1430" spans="7:178" x14ac:dyDescent="0.4">
      <c r="G1430" s="36"/>
      <c r="FV1430" s="24"/>
    </row>
    <row r="1431" spans="7:178" x14ac:dyDescent="0.4">
      <c r="G1431" s="36"/>
      <c r="FV1431" s="24"/>
    </row>
    <row r="1432" spans="7:178" x14ac:dyDescent="0.4">
      <c r="G1432" s="36"/>
      <c r="FV1432" s="24"/>
    </row>
    <row r="1433" spans="7:178" x14ac:dyDescent="0.4">
      <c r="G1433" s="36"/>
      <c r="FV1433" s="24"/>
    </row>
    <row r="1434" spans="7:178" x14ac:dyDescent="0.4">
      <c r="G1434" s="36"/>
      <c r="FV1434" s="24"/>
    </row>
    <row r="1435" spans="7:178" x14ac:dyDescent="0.4">
      <c r="G1435" s="36"/>
      <c r="FV1435" s="24"/>
    </row>
    <row r="1436" spans="7:178" x14ac:dyDescent="0.4">
      <c r="G1436" s="36"/>
      <c r="FV1436" s="24"/>
    </row>
    <row r="1437" spans="7:178" x14ac:dyDescent="0.4">
      <c r="G1437" s="36"/>
      <c r="FV1437" s="24"/>
    </row>
    <row r="1438" spans="7:178" x14ac:dyDescent="0.4">
      <c r="G1438" s="36"/>
      <c r="FV1438" s="24"/>
    </row>
    <row r="1439" spans="7:178" x14ac:dyDescent="0.4">
      <c r="G1439" s="36"/>
      <c r="FV1439" s="24"/>
    </row>
    <row r="1440" spans="7:178" x14ac:dyDescent="0.4">
      <c r="G1440" s="36"/>
      <c r="FV1440" s="24"/>
    </row>
    <row r="1441" spans="7:178" x14ac:dyDescent="0.4">
      <c r="G1441" s="36"/>
      <c r="FV1441" s="24"/>
    </row>
    <row r="1442" spans="7:178" x14ac:dyDescent="0.4">
      <c r="G1442" s="36"/>
      <c r="FV1442" s="24"/>
    </row>
    <row r="1443" spans="7:178" x14ac:dyDescent="0.4">
      <c r="G1443" s="36"/>
      <c r="FV1443" s="24"/>
    </row>
    <row r="1444" spans="7:178" x14ac:dyDescent="0.4">
      <c r="G1444" s="36"/>
      <c r="FV1444" s="24"/>
    </row>
    <row r="1445" spans="7:178" x14ac:dyDescent="0.4">
      <c r="G1445" s="36"/>
      <c r="FV1445" s="24"/>
    </row>
    <row r="1446" spans="7:178" x14ac:dyDescent="0.4">
      <c r="G1446" s="36"/>
      <c r="FV1446" s="24"/>
    </row>
    <row r="1447" spans="7:178" x14ac:dyDescent="0.4">
      <c r="G1447" s="36"/>
      <c r="FV1447" s="24"/>
    </row>
    <row r="1448" spans="7:178" x14ac:dyDescent="0.4">
      <c r="G1448" s="36"/>
      <c r="FV1448" s="24"/>
    </row>
    <row r="1449" spans="7:178" x14ac:dyDescent="0.4">
      <c r="G1449" s="36"/>
      <c r="FV1449" s="24"/>
    </row>
    <row r="1450" spans="7:178" x14ac:dyDescent="0.4">
      <c r="G1450" s="36"/>
      <c r="FV1450" s="24"/>
    </row>
    <row r="1451" spans="7:178" x14ac:dyDescent="0.4">
      <c r="G1451" s="36"/>
      <c r="FV1451" s="24"/>
    </row>
    <row r="1452" spans="7:178" x14ac:dyDescent="0.4">
      <c r="G1452" s="36"/>
      <c r="FV1452" s="24"/>
    </row>
    <row r="1453" spans="7:178" x14ac:dyDescent="0.4">
      <c r="G1453" s="36"/>
      <c r="FV1453" s="24"/>
    </row>
    <row r="1454" spans="7:178" x14ac:dyDescent="0.4">
      <c r="G1454" s="36"/>
      <c r="FV1454" s="24"/>
    </row>
    <row r="1455" spans="7:178" x14ac:dyDescent="0.4">
      <c r="G1455" s="36"/>
      <c r="FV1455" s="24"/>
    </row>
    <row r="1456" spans="7:178" x14ac:dyDescent="0.4">
      <c r="G1456" s="36"/>
      <c r="FV1456" s="24"/>
    </row>
    <row r="1457" spans="7:178" x14ac:dyDescent="0.4">
      <c r="G1457" s="36"/>
      <c r="FV1457" s="24"/>
    </row>
    <row r="1458" spans="7:178" x14ac:dyDescent="0.4">
      <c r="G1458" s="36"/>
      <c r="FV1458" s="24"/>
    </row>
    <row r="1459" spans="7:178" x14ac:dyDescent="0.4">
      <c r="G1459" s="36"/>
      <c r="FV1459" s="24"/>
    </row>
    <row r="1460" spans="7:178" x14ac:dyDescent="0.4">
      <c r="G1460" s="36"/>
      <c r="FV1460" s="24"/>
    </row>
    <row r="1461" spans="7:178" x14ac:dyDescent="0.4">
      <c r="G1461" s="36"/>
      <c r="FV1461" s="24"/>
    </row>
    <row r="1462" spans="7:178" x14ac:dyDescent="0.4">
      <c r="G1462" s="36"/>
      <c r="FV1462" s="24"/>
    </row>
    <row r="1463" spans="7:178" x14ac:dyDescent="0.4">
      <c r="G1463" s="36"/>
      <c r="FV1463" s="24"/>
    </row>
    <row r="1464" spans="7:178" x14ac:dyDescent="0.4">
      <c r="G1464" s="36"/>
      <c r="FV1464" s="24"/>
    </row>
    <row r="1465" spans="7:178" x14ac:dyDescent="0.4">
      <c r="G1465" s="36"/>
      <c r="FV1465" s="24"/>
    </row>
    <row r="1466" spans="7:178" x14ac:dyDescent="0.4">
      <c r="G1466" s="36"/>
      <c r="FV1466" s="24"/>
    </row>
    <row r="1467" spans="7:178" x14ac:dyDescent="0.4">
      <c r="G1467" s="36"/>
      <c r="FV1467" s="24"/>
    </row>
    <row r="1468" spans="7:178" x14ac:dyDescent="0.4">
      <c r="G1468" s="36"/>
      <c r="FV1468" s="24"/>
    </row>
    <row r="1469" spans="7:178" x14ac:dyDescent="0.4">
      <c r="G1469" s="36"/>
      <c r="FV1469" s="24"/>
    </row>
    <row r="1470" spans="7:178" x14ac:dyDescent="0.4">
      <c r="G1470" s="36"/>
      <c r="FV1470" s="24"/>
    </row>
    <row r="1471" spans="7:178" x14ac:dyDescent="0.4">
      <c r="G1471" s="36"/>
      <c r="FV1471" s="24"/>
    </row>
    <row r="1472" spans="7:178" x14ac:dyDescent="0.4">
      <c r="G1472" s="36"/>
      <c r="FV1472" s="24"/>
    </row>
    <row r="1473" spans="7:178" x14ac:dyDescent="0.4">
      <c r="G1473" s="36"/>
      <c r="FV1473" s="24"/>
    </row>
    <row r="1474" spans="7:178" x14ac:dyDescent="0.4">
      <c r="G1474" s="36"/>
      <c r="FV1474" s="24"/>
    </row>
    <row r="1475" spans="7:178" x14ac:dyDescent="0.4">
      <c r="G1475" s="36"/>
      <c r="FV1475" s="24"/>
    </row>
    <row r="1476" spans="7:178" x14ac:dyDescent="0.4">
      <c r="G1476" s="36"/>
      <c r="FV1476" s="24"/>
    </row>
    <row r="1477" spans="7:178" x14ac:dyDescent="0.4">
      <c r="G1477" s="36"/>
      <c r="FV1477" s="24"/>
    </row>
    <row r="1478" spans="7:178" x14ac:dyDescent="0.4">
      <c r="G1478" s="36"/>
      <c r="FV1478" s="24"/>
    </row>
    <row r="1479" spans="7:178" x14ac:dyDescent="0.4">
      <c r="G1479" s="36"/>
      <c r="FV1479" s="24"/>
    </row>
    <row r="1480" spans="7:178" x14ac:dyDescent="0.4">
      <c r="G1480" s="36"/>
      <c r="FV1480" s="24"/>
    </row>
    <row r="1481" spans="7:178" x14ac:dyDescent="0.4">
      <c r="G1481" s="36"/>
      <c r="FV1481" s="24"/>
    </row>
    <row r="1482" spans="7:178" x14ac:dyDescent="0.4">
      <c r="G1482" s="36"/>
      <c r="FV1482" s="24"/>
    </row>
    <row r="1483" spans="7:178" x14ac:dyDescent="0.4">
      <c r="G1483" s="36"/>
      <c r="FV1483" s="24"/>
    </row>
    <row r="1484" spans="7:178" x14ac:dyDescent="0.4">
      <c r="G1484" s="36"/>
      <c r="FV1484" s="24"/>
    </row>
    <row r="1485" spans="7:178" x14ac:dyDescent="0.4">
      <c r="G1485" s="36"/>
      <c r="FV1485" s="24"/>
    </row>
    <row r="1486" spans="7:178" x14ac:dyDescent="0.4">
      <c r="G1486" s="36"/>
      <c r="FV1486" s="24"/>
    </row>
    <row r="1487" spans="7:178" x14ac:dyDescent="0.4">
      <c r="G1487" s="36"/>
      <c r="FV1487" s="24"/>
    </row>
    <row r="1488" spans="7:178" x14ac:dyDescent="0.4">
      <c r="G1488" s="36"/>
      <c r="FV1488" s="24"/>
    </row>
    <row r="1489" spans="7:178" x14ac:dyDescent="0.4">
      <c r="G1489" s="36"/>
      <c r="FV1489" s="24"/>
    </row>
    <row r="1490" spans="7:178" x14ac:dyDescent="0.4">
      <c r="G1490" s="36"/>
      <c r="FV1490" s="24"/>
    </row>
    <row r="1491" spans="7:178" x14ac:dyDescent="0.4">
      <c r="G1491" s="36"/>
      <c r="FV1491" s="24"/>
    </row>
    <row r="1492" spans="7:178" x14ac:dyDescent="0.4">
      <c r="G1492" s="36"/>
      <c r="FV1492" s="24"/>
    </row>
    <row r="1493" spans="7:178" x14ac:dyDescent="0.4">
      <c r="G1493" s="36"/>
      <c r="FV1493" s="24"/>
    </row>
    <row r="1494" spans="7:178" x14ac:dyDescent="0.4">
      <c r="G1494" s="36"/>
      <c r="FV1494" s="24"/>
    </row>
    <row r="1495" spans="7:178" x14ac:dyDescent="0.4">
      <c r="G1495" s="36"/>
      <c r="FV1495" s="24"/>
    </row>
    <row r="1496" spans="7:178" x14ac:dyDescent="0.4">
      <c r="G1496" s="36"/>
      <c r="FV1496" s="24"/>
    </row>
    <row r="1497" spans="7:178" x14ac:dyDescent="0.4">
      <c r="G1497" s="36"/>
      <c r="FV1497" s="24"/>
    </row>
    <row r="1498" spans="7:178" x14ac:dyDescent="0.4">
      <c r="G1498" s="36"/>
      <c r="FV1498" s="24"/>
    </row>
    <row r="1499" spans="7:178" x14ac:dyDescent="0.4">
      <c r="G1499" s="36"/>
      <c r="FV1499" s="24"/>
    </row>
    <row r="1500" spans="7:178" x14ac:dyDescent="0.4">
      <c r="G1500" s="36"/>
      <c r="FV1500" s="24"/>
    </row>
    <row r="1501" spans="7:178" x14ac:dyDescent="0.4">
      <c r="G1501" s="36"/>
      <c r="FV1501" s="24"/>
    </row>
    <row r="1502" spans="7:178" x14ac:dyDescent="0.4">
      <c r="G1502" s="36"/>
      <c r="FV1502" s="24"/>
    </row>
    <row r="1503" spans="7:178" x14ac:dyDescent="0.4">
      <c r="G1503" s="36"/>
      <c r="FV1503" s="24"/>
    </row>
    <row r="1504" spans="7:178" x14ac:dyDescent="0.4">
      <c r="G1504" s="36"/>
      <c r="FV1504" s="24"/>
    </row>
    <row r="1505" spans="7:178" x14ac:dyDescent="0.4">
      <c r="G1505" s="36"/>
      <c r="FV1505" s="24"/>
    </row>
    <row r="1506" spans="7:178" x14ac:dyDescent="0.4">
      <c r="G1506" s="36"/>
      <c r="FV1506" s="24"/>
    </row>
    <row r="1507" spans="7:178" x14ac:dyDescent="0.4">
      <c r="G1507" s="36"/>
      <c r="FV1507" s="24"/>
    </row>
    <row r="1508" spans="7:178" x14ac:dyDescent="0.4">
      <c r="G1508" s="36"/>
      <c r="FV1508" s="24"/>
    </row>
    <row r="1509" spans="7:178" x14ac:dyDescent="0.4">
      <c r="G1509" s="36"/>
      <c r="FV1509" s="24"/>
    </row>
    <row r="1510" spans="7:178" x14ac:dyDescent="0.4">
      <c r="G1510" s="36"/>
      <c r="FV1510" s="24"/>
    </row>
    <row r="1511" spans="7:178" x14ac:dyDescent="0.4">
      <c r="G1511" s="36"/>
      <c r="FV1511" s="24"/>
    </row>
    <row r="1512" spans="7:178" x14ac:dyDescent="0.4">
      <c r="G1512" s="36"/>
      <c r="FV1512" s="24"/>
    </row>
    <row r="1513" spans="7:178" x14ac:dyDescent="0.4">
      <c r="G1513" s="36"/>
      <c r="FV1513" s="24"/>
    </row>
    <row r="1514" spans="7:178" x14ac:dyDescent="0.4">
      <c r="G1514" s="36"/>
      <c r="FV1514" s="24"/>
    </row>
    <row r="1515" spans="7:178" x14ac:dyDescent="0.4">
      <c r="G1515" s="36"/>
      <c r="FV1515" s="24"/>
    </row>
    <row r="1516" spans="7:178" x14ac:dyDescent="0.4">
      <c r="G1516" s="36"/>
      <c r="FV1516" s="24"/>
    </row>
    <row r="1517" spans="7:178" x14ac:dyDescent="0.4">
      <c r="G1517" s="36"/>
      <c r="FV1517" s="24"/>
    </row>
    <row r="1518" spans="7:178" x14ac:dyDescent="0.4">
      <c r="G1518" s="36"/>
      <c r="FV1518" s="24"/>
    </row>
    <row r="1519" spans="7:178" x14ac:dyDescent="0.4">
      <c r="G1519" s="36"/>
      <c r="FV1519" s="24"/>
    </row>
    <row r="1520" spans="7:178" x14ac:dyDescent="0.4">
      <c r="G1520" s="36"/>
      <c r="FV1520" s="24"/>
    </row>
    <row r="1521" spans="7:178" x14ac:dyDescent="0.4">
      <c r="G1521" s="36"/>
      <c r="FV1521" s="24"/>
    </row>
    <row r="1522" spans="7:178" x14ac:dyDescent="0.4">
      <c r="G1522" s="36"/>
      <c r="FV1522" s="24"/>
    </row>
    <row r="1523" spans="7:178" x14ac:dyDescent="0.4">
      <c r="G1523" s="36"/>
      <c r="FV1523" s="24"/>
    </row>
    <row r="1524" spans="7:178" x14ac:dyDescent="0.4">
      <c r="G1524" s="36"/>
      <c r="FV1524" s="24"/>
    </row>
    <row r="1525" spans="7:178" x14ac:dyDescent="0.4">
      <c r="G1525" s="36"/>
      <c r="FV1525" s="24"/>
    </row>
    <row r="1526" spans="7:178" x14ac:dyDescent="0.4">
      <c r="G1526" s="36"/>
      <c r="FV1526" s="24"/>
    </row>
    <row r="1527" spans="7:178" x14ac:dyDescent="0.4">
      <c r="G1527" s="36"/>
      <c r="FV1527" s="24"/>
    </row>
    <row r="1528" spans="7:178" x14ac:dyDescent="0.4">
      <c r="G1528" s="36"/>
      <c r="FV1528" s="24"/>
    </row>
    <row r="1529" spans="7:178" x14ac:dyDescent="0.4">
      <c r="G1529" s="36"/>
      <c r="FV1529" s="24"/>
    </row>
    <row r="1530" spans="7:178" x14ac:dyDescent="0.4">
      <c r="G1530" s="36"/>
      <c r="FV1530" s="24"/>
    </row>
    <row r="1531" spans="7:178" x14ac:dyDescent="0.4">
      <c r="G1531" s="36"/>
      <c r="FV1531" s="24"/>
    </row>
    <row r="1532" spans="7:178" x14ac:dyDescent="0.4">
      <c r="G1532" s="36"/>
      <c r="FV1532" s="24"/>
    </row>
    <row r="1533" spans="7:178" x14ac:dyDescent="0.4">
      <c r="G1533" s="36"/>
      <c r="FV1533" s="24"/>
    </row>
    <row r="1534" spans="7:178" x14ac:dyDescent="0.4">
      <c r="G1534" s="36"/>
      <c r="FV1534" s="24"/>
    </row>
    <row r="1535" spans="7:178" x14ac:dyDescent="0.4">
      <c r="G1535" s="36"/>
      <c r="FV1535" s="24"/>
    </row>
    <row r="1536" spans="7:178" x14ac:dyDescent="0.4">
      <c r="G1536" s="36"/>
      <c r="FV1536" s="24"/>
    </row>
    <row r="1537" spans="7:178" x14ac:dyDescent="0.4">
      <c r="G1537" s="36"/>
      <c r="FV1537" s="24"/>
    </row>
    <row r="1538" spans="7:178" x14ac:dyDescent="0.4">
      <c r="G1538" s="36"/>
      <c r="FV1538" s="24"/>
    </row>
    <row r="1539" spans="7:178" x14ac:dyDescent="0.4">
      <c r="G1539" s="36"/>
      <c r="FV1539" s="24"/>
    </row>
    <row r="1540" spans="7:178" x14ac:dyDescent="0.4">
      <c r="G1540" s="36"/>
      <c r="FV1540" s="24"/>
    </row>
    <row r="1541" spans="7:178" x14ac:dyDescent="0.4">
      <c r="G1541" s="36"/>
      <c r="FV1541" s="24"/>
    </row>
    <row r="1542" spans="7:178" x14ac:dyDescent="0.4">
      <c r="G1542" s="36"/>
      <c r="FV1542" s="24"/>
    </row>
    <row r="1543" spans="7:178" x14ac:dyDescent="0.4">
      <c r="G1543" s="36"/>
      <c r="FV1543" s="24"/>
    </row>
    <row r="1544" spans="7:178" x14ac:dyDescent="0.4">
      <c r="G1544" s="36"/>
      <c r="FV1544" s="24"/>
    </row>
    <row r="1545" spans="7:178" x14ac:dyDescent="0.4">
      <c r="G1545" s="36"/>
      <c r="FV1545" s="24"/>
    </row>
    <row r="1546" spans="7:178" x14ac:dyDescent="0.4">
      <c r="G1546" s="36"/>
      <c r="FV1546" s="24"/>
    </row>
    <row r="1547" spans="7:178" x14ac:dyDescent="0.4">
      <c r="G1547" s="36"/>
      <c r="FV1547" s="24"/>
    </row>
    <row r="1548" spans="7:178" x14ac:dyDescent="0.4">
      <c r="G1548" s="36"/>
      <c r="FV1548" s="24"/>
    </row>
    <row r="1549" spans="7:178" x14ac:dyDescent="0.4">
      <c r="G1549" s="36"/>
      <c r="FV1549" s="24"/>
    </row>
    <row r="1550" spans="7:178" x14ac:dyDescent="0.4">
      <c r="G1550" s="36"/>
      <c r="FV1550" s="24"/>
    </row>
    <row r="1551" spans="7:178" x14ac:dyDescent="0.4">
      <c r="G1551" s="36"/>
      <c r="FV1551" s="24"/>
    </row>
    <row r="1552" spans="7:178" x14ac:dyDescent="0.4">
      <c r="G1552" s="36"/>
      <c r="FV1552" s="24"/>
    </row>
    <row r="1553" spans="7:178" x14ac:dyDescent="0.4">
      <c r="G1553" s="36"/>
      <c r="FV1553" s="24"/>
    </row>
    <row r="1554" spans="7:178" x14ac:dyDescent="0.4">
      <c r="G1554" s="36"/>
      <c r="FV1554" s="24"/>
    </row>
    <row r="1555" spans="7:178" x14ac:dyDescent="0.4">
      <c r="G1555" s="36"/>
      <c r="FV1555" s="24"/>
    </row>
    <row r="1556" spans="7:178" x14ac:dyDescent="0.4">
      <c r="G1556" s="36"/>
      <c r="FV1556" s="24"/>
    </row>
    <row r="1557" spans="7:178" x14ac:dyDescent="0.4">
      <c r="G1557" s="36"/>
      <c r="FV1557" s="24"/>
    </row>
    <row r="1558" spans="7:178" x14ac:dyDescent="0.4">
      <c r="G1558" s="36"/>
      <c r="FV1558" s="24"/>
    </row>
    <row r="1559" spans="7:178" x14ac:dyDescent="0.4">
      <c r="G1559" s="36"/>
      <c r="FV1559" s="24"/>
    </row>
    <row r="1560" spans="7:178" x14ac:dyDescent="0.4">
      <c r="G1560" s="36"/>
      <c r="FV1560" s="24"/>
    </row>
    <row r="1561" spans="7:178" x14ac:dyDescent="0.4">
      <c r="G1561" s="36"/>
      <c r="FV1561" s="24"/>
    </row>
    <row r="1562" spans="7:178" x14ac:dyDescent="0.4">
      <c r="G1562" s="36"/>
      <c r="FV1562" s="24"/>
    </row>
    <row r="1563" spans="7:178" x14ac:dyDescent="0.4">
      <c r="G1563" s="36"/>
      <c r="FV1563" s="24"/>
    </row>
    <row r="1564" spans="7:178" x14ac:dyDescent="0.4">
      <c r="G1564" s="36"/>
      <c r="FV1564" s="24"/>
    </row>
    <row r="1565" spans="7:178" x14ac:dyDescent="0.4">
      <c r="G1565" s="36"/>
      <c r="FV1565" s="24"/>
    </row>
    <row r="1566" spans="7:178" x14ac:dyDescent="0.4">
      <c r="G1566" s="36"/>
      <c r="FV1566" s="24"/>
    </row>
    <row r="1567" spans="7:178" x14ac:dyDescent="0.4">
      <c r="G1567" s="36"/>
      <c r="FV1567" s="24"/>
    </row>
    <row r="1568" spans="7:178" x14ac:dyDescent="0.4">
      <c r="G1568" s="36"/>
      <c r="FV1568" s="24"/>
    </row>
    <row r="1569" spans="7:178" x14ac:dyDescent="0.4">
      <c r="G1569" s="36"/>
      <c r="FV1569" s="24"/>
    </row>
    <row r="1570" spans="7:178" x14ac:dyDescent="0.4">
      <c r="G1570" s="36"/>
      <c r="FV1570" s="24"/>
    </row>
    <row r="1571" spans="7:178" x14ac:dyDescent="0.4">
      <c r="G1571" s="36"/>
      <c r="FV1571" s="24"/>
    </row>
    <row r="1572" spans="7:178" x14ac:dyDescent="0.4">
      <c r="G1572" s="36"/>
      <c r="FV1572" s="24"/>
    </row>
    <row r="1573" spans="7:178" x14ac:dyDescent="0.4">
      <c r="G1573" s="36"/>
      <c r="FV1573" s="24"/>
    </row>
    <row r="1574" spans="7:178" x14ac:dyDescent="0.4">
      <c r="G1574" s="36"/>
      <c r="FV1574" s="24"/>
    </row>
    <row r="1575" spans="7:178" x14ac:dyDescent="0.4">
      <c r="G1575" s="36"/>
      <c r="FV1575" s="24"/>
    </row>
    <row r="1576" spans="7:178" x14ac:dyDescent="0.4">
      <c r="G1576" s="36"/>
      <c r="FV1576" s="24"/>
    </row>
    <row r="1577" spans="7:178" x14ac:dyDescent="0.4">
      <c r="G1577" s="36"/>
      <c r="FV1577" s="24"/>
    </row>
    <row r="1578" spans="7:178" x14ac:dyDescent="0.4">
      <c r="G1578" s="36"/>
      <c r="FV1578" s="24"/>
    </row>
    <row r="1579" spans="7:178" x14ac:dyDescent="0.4">
      <c r="G1579" s="36"/>
      <c r="FV1579" s="24"/>
    </row>
    <row r="1580" spans="7:178" x14ac:dyDescent="0.4">
      <c r="G1580" s="36"/>
      <c r="FV1580" s="24"/>
    </row>
    <row r="1581" spans="7:178" x14ac:dyDescent="0.4">
      <c r="G1581" s="36"/>
      <c r="FV1581" s="24"/>
    </row>
    <row r="1582" spans="7:178" x14ac:dyDescent="0.4">
      <c r="G1582" s="36"/>
      <c r="FV1582" s="24"/>
    </row>
    <row r="1583" spans="7:178" x14ac:dyDescent="0.4">
      <c r="G1583" s="36"/>
      <c r="FV1583" s="24"/>
    </row>
    <row r="1584" spans="7:178" x14ac:dyDescent="0.4">
      <c r="G1584" s="36"/>
      <c r="FV1584" s="24"/>
    </row>
    <row r="1585" spans="7:178" x14ac:dyDescent="0.4">
      <c r="G1585" s="36"/>
      <c r="FV1585" s="24"/>
    </row>
    <row r="1586" spans="7:178" x14ac:dyDescent="0.4">
      <c r="G1586" s="36"/>
      <c r="FV1586" s="24"/>
    </row>
    <row r="1587" spans="7:178" x14ac:dyDescent="0.4">
      <c r="G1587" s="36"/>
      <c r="FV1587" s="24"/>
    </row>
    <row r="1588" spans="7:178" x14ac:dyDescent="0.4">
      <c r="G1588" s="36"/>
      <c r="FV1588" s="24"/>
    </row>
    <row r="1589" spans="7:178" x14ac:dyDescent="0.4">
      <c r="G1589" s="36"/>
      <c r="FV1589" s="24"/>
    </row>
    <row r="1590" spans="7:178" x14ac:dyDescent="0.4">
      <c r="G1590" s="36"/>
      <c r="FV1590" s="24"/>
    </row>
    <row r="1591" spans="7:178" x14ac:dyDescent="0.4">
      <c r="G1591" s="36"/>
      <c r="FV1591" s="24"/>
    </row>
    <row r="1592" spans="7:178" x14ac:dyDescent="0.4">
      <c r="G1592" s="36"/>
      <c r="FV1592" s="24"/>
    </row>
    <row r="1593" spans="7:178" x14ac:dyDescent="0.4">
      <c r="G1593" s="36"/>
      <c r="FV1593" s="24"/>
    </row>
    <row r="1594" spans="7:178" x14ac:dyDescent="0.4">
      <c r="G1594" s="36"/>
      <c r="FV1594" s="24"/>
    </row>
    <row r="1595" spans="7:178" x14ac:dyDescent="0.4">
      <c r="G1595" s="36"/>
      <c r="FV1595" s="24"/>
    </row>
    <row r="1596" spans="7:178" x14ac:dyDescent="0.4">
      <c r="G1596" s="36"/>
      <c r="FV1596" s="24"/>
    </row>
    <row r="1597" spans="7:178" x14ac:dyDescent="0.4">
      <c r="G1597" s="36"/>
      <c r="FV1597" s="24"/>
    </row>
    <row r="1598" spans="7:178" x14ac:dyDescent="0.4">
      <c r="G1598" s="36"/>
      <c r="FV1598" s="24"/>
    </row>
    <row r="1599" spans="7:178" x14ac:dyDescent="0.4">
      <c r="G1599" s="36"/>
      <c r="FV1599" s="24"/>
    </row>
    <row r="1600" spans="7:178" x14ac:dyDescent="0.4">
      <c r="G1600" s="36"/>
      <c r="FV1600" s="24"/>
    </row>
    <row r="1601" spans="7:178" x14ac:dyDescent="0.4">
      <c r="G1601" s="36"/>
      <c r="FV1601" s="24"/>
    </row>
    <row r="1602" spans="7:178" x14ac:dyDescent="0.4">
      <c r="G1602" s="36"/>
      <c r="FV1602" s="24"/>
    </row>
    <row r="1603" spans="7:178" x14ac:dyDescent="0.4">
      <c r="G1603" s="36"/>
      <c r="FV1603" s="24"/>
    </row>
    <row r="1604" spans="7:178" x14ac:dyDescent="0.4">
      <c r="G1604" s="36"/>
      <c r="FV1604" s="24"/>
    </row>
    <row r="1605" spans="7:178" x14ac:dyDescent="0.4">
      <c r="G1605" s="36"/>
      <c r="FV1605" s="24"/>
    </row>
    <row r="1606" spans="7:178" x14ac:dyDescent="0.4">
      <c r="G1606" s="36"/>
      <c r="FV1606" s="24"/>
    </row>
    <row r="1607" spans="7:178" x14ac:dyDescent="0.4">
      <c r="G1607" s="36"/>
      <c r="FV1607" s="24"/>
    </row>
    <row r="1608" spans="7:178" x14ac:dyDescent="0.4">
      <c r="G1608" s="36"/>
      <c r="FV1608" s="24"/>
    </row>
    <row r="1609" spans="7:178" x14ac:dyDescent="0.4">
      <c r="G1609" s="36"/>
      <c r="FV1609" s="24"/>
    </row>
    <row r="1610" spans="7:178" x14ac:dyDescent="0.4">
      <c r="G1610" s="36"/>
      <c r="FV1610" s="24"/>
    </row>
    <row r="1611" spans="7:178" x14ac:dyDescent="0.4">
      <c r="G1611" s="36"/>
      <c r="FV1611" s="24"/>
    </row>
    <row r="1612" spans="7:178" x14ac:dyDescent="0.4">
      <c r="G1612" s="36"/>
      <c r="FV1612" s="24"/>
    </row>
    <row r="1613" spans="7:178" x14ac:dyDescent="0.4">
      <c r="G1613" s="36"/>
      <c r="FV1613" s="24"/>
    </row>
    <row r="1614" spans="7:178" x14ac:dyDescent="0.4">
      <c r="G1614" s="36"/>
      <c r="FV1614" s="24"/>
    </row>
    <row r="1615" spans="7:178" x14ac:dyDescent="0.4">
      <c r="G1615" s="36"/>
      <c r="FV1615" s="24"/>
    </row>
    <row r="1616" spans="7:178" x14ac:dyDescent="0.4">
      <c r="G1616" s="36"/>
      <c r="FV1616" s="24"/>
    </row>
    <row r="1617" spans="7:178" x14ac:dyDescent="0.4">
      <c r="G1617" s="36"/>
      <c r="FV1617" s="24"/>
    </row>
    <row r="1618" spans="7:178" x14ac:dyDescent="0.4">
      <c r="G1618" s="36"/>
      <c r="FV1618" s="24"/>
    </row>
    <row r="1619" spans="7:178" x14ac:dyDescent="0.4">
      <c r="G1619" s="36"/>
      <c r="FV1619" s="24"/>
    </row>
    <row r="1620" spans="7:178" x14ac:dyDescent="0.4">
      <c r="G1620" s="36"/>
      <c r="FV1620" s="24"/>
    </row>
    <row r="1621" spans="7:178" x14ac:dyDescent="0.4">
      <c r="G1621" s="36"/>
      <c r="FV1621" s="24"/>
    </row>
    <row r="1622" spans="7:178" x14ac:dyDescent="0.4">
      <c r="G1622" s="36"/>
      <c r="FV1622" s="24"/>
    </row>
    <row r="1623" spans="7:178" x14ac:dyDescent="0.4">
      <c r="G1623" s="36"/>
      <c r="FV1623" s="24"/>
    </row>
    <row r="1624" spans="7:178" x14ac:dyDescent="0.4">
      <c r="G1624" s="36"/>
      <c r="FV1624" s="24"/>
    </row>
    <row r="1625" spans="7:178" x14ac:dyDescent="0.4">
      <c r="G1625" s="36"/>
      <c r="FV1625" s="24"/>
    </row>
    <row r="1626" spans="7:178" x14ac:dyDescent="0.4">
      <c r="G1626" s="36"/>
      <c r="FV1626" s="24"/>
    </row>
    <row r="1627" spans="7:178" x14ac:dyDescent="0.4">
      <c r="G1627" s="36"/>
      <c r="FV1627" s="24"/>
    </row>
    <row r="1628" spans="7:178" x14ac:dyDescent="0.4">
      <c r="G1628" s="36"/>
      <c r="FV1628" s="24"/>
    </row>
    <row r="1629" spans="7:178" x14ac:dyDescent="0.4">
      <c r="G1629" s="36"/>
      <c r="FV1629" s="24"/>
    </row>
    <row r="1630" spans="7:178" x14ac:dyDescent="0.4">
      <c r="G1630" s="36"/>
      <c r="FV1630" s="24"/>
    </row>
    <row r="1631" spans="7:178" x14ac:dyDescent="0.4">
      <c r="G1631" s="36"/>
      <c r="FV1631" s="24"/>
    </row>
    <row r="1632" spans="7:178" x14ac:dyDescent="0.4">
      <c r="G1632" s="36"/>
      <c r="FV1632" s="24"/>
    </row>
    <row r="1633" spans="7:178" x14ac:dyDescent="0.4">
      <c r="G1633" s="36"/>
      <c r="FV1633" s="24"/>
    </row>
    <row r="1634" spans="7:178" x14ac:dyDescent="0.4">
      <c r="G1634" s="36"/>
      <c r="FV1634" s="24"/>
    </row>
    <row r="1635" spans="7:178" x14ac:dyDescent="0.4">
      <c r="G1635" s="36"/>
      <c r="FV1635" s="24"/>
    </row>
    <row r="1636" spans="7:178" x14ac:dyDescent="0.4">
      <c r="G1636" s="36"/>
      <c r="FV1636" s="24"/>
    </row>
    <row r="1637" spans="7:178" x14ac:dyDescent="0.4">
      <c r="G1637" s="36"/>
      <c r="FV1637" s="24"/>
    </row>
    <row r="1638" spans="7:178" x14ac:dyDescent="0.4">
      <c r="G1638" s="36"/>
      <c r="FV1638" s="24"/>
    </row>
    <row r="1639" spans="7:178" x14ac:dyDescent="0.4">
      <c r="G1639" s="36"/>
      <c r="FV1639" s="24"/>
    </row>
    <row r="1640" spans="7:178" x14ac:dyDescent="0.4">
      <c r="G1640" s="36"/>
      <c r="FV1640" s="24"/>
    </row>
    <row r="1641" spans="7:178" x14ac:dyDescent="0.4">
      <c r="G1641" s="36"/>
      <c r="FV1641" s="24"/>
    </row>
    <row r="1642" spans="7:178" x14ac:dyDescent="0.4">
      <c r="G1642" s="36"/>
      <c r="FV1642" s="24"/>
    </row>
    <row r="1643" spans="7:178" x14ac:dyDescent="0.4">
      <c r="G1643" s="36"/>
      <c r="FV1643" s="24"/>
    </row>
    <row r="1644" spans="7:178" x14ac:dyDescent="0.4">
      <c r="G1644" s="36"/>
      <c r="FV1644" s="24"/>
    </row>
    <row r="1645" spans="7:178" x14ac:dyDescent="0.4">
      <c r="G1645" s="36"/>
      <c r="FV1645" s="24"/>
    </row>
    <row r="1646" spans="7:178" x14ac:dyDescent="0.4">
      <c r="G1646" s="36"/>
      <c r="FV1646" s="24"/>
    </row>
    <row r="1647" spans="7:178" x14ac:dyDescent="0.4">
      <c r="G1647" s="36"/>
      <c r="FV1647" s="24"/>
    </row>
    <row r="1648" spans="7:178" x14ac:dyDescent="0.4">
      <c r="G1648" s="36"/>
      <c r="FV1648" s="24"/>
    </row>
    <row r="1649" spans="7:178" x14ac:dyDescent="0.4">
      <c r="G1649" s="36"/>
      <c r="FV1649" s="24"/>
    </row>
    <row r="1650" spans="7:178" x14ac:dyDescent="0.4">
      <c r="G1650" s="36"/>
      <c r="FV1650" s="24"/>
    </row>
    <row r="1651" spans="7:178" x14ac:dyDescent="0.4">
      <c r="G1651" s="36"/>
      <c r="FV1651" s="24"/>
    </row>
    <row r="1652" spans="7:178" x14ac:dyDescent="0.4">
      <c r="G1652" s="36"/>
      <c r="FV1652" s="24"/>
    </row>
    <row r="1653" spans="7:178" x14ac:dyDescent="0.4">
      <c r="G1653" s="36"/>
      <c r="FV1653" s="24"/>
    </row>
    <row r="1654" spans="7:178" x14ac:dyDescent="0.4">
      <c r="G1654" s="36"/>
      <c r="FV1654" s="24"/>
    </row>
    <row r="1655" spans="7:178" x14ac:dyDescent="0.4">
      <c r="G1655" s="36"/>
      <c r="FV1655" s="24"/>
    </row>
    <row r="1656" spans="7:178" x14ac:dyDescent="0.4">
      <c r="G1656" s="36"/>
      <c r="FV1656" s="24"/>
    </row>
    <row r="1657" spans="7:178" x14ac:dyDescent="0.4">
      <c r="G1657" s="36"/>
      <c r="FV1657" s="24"/>
    </row>
    <row r="1658" spans="7:178" x14ac:dyDescent="0.4">
      <c r="G1658" s="36"/>
      <c r="FV1658" s="24"/>
    </row>
    <row r="1659" spans="7:178" x14ac:dyDescent="0.4">
      <c r="G1659" s="36"/>
      <c r="FV1659" s="24"/>
    </row>
    <row r="1660" spans="7:178" x14ac:dyDescent="0.4">
      <c r="G1660" s="36"/>
      <c r="FV1660" s="24"/>
    </row>
    <row r="1661" spans="7:178" x14ac:dyDescent="0.4">
      <c r="G1661" s="36"/>
      <c r="FV1661" s="24"/>
    </row>
    <row r="1662" spans="7:178" x14ac:dyDescent="0.4">
      <c r="G1662" s="36"/>
      <c r="FV1662" s="24"/>
    </row>
    <row r="1663" spans="7:178" x14ac:dyDescent="0.4">
      <c r="G1663" s="36"/>
      <c r="FV1663" s="24"/>
    </row>
    <row r="1664" spans="7:178" x14ac:dyDescent="0.4">
      <c r="G1664" s="36"/>
      <c r="FV1664" s="24"/>
    </row>
    <row r="1665" spans="7:178" x14ac:dyDescent="0.4">
      <c r="G1665" s="36"/>
      <c r="FV1665" s="24"/>
    </row>
    <row r="1666" spans="7:178" x14ac:dyDescent="0.4">
      <c r="G1666" s="36"/>
      <c r="FV1666" s="24"/>
    </row>
    <row r="1667" spans="7:178" x14ac:dyDescent="0.4">
      <c r="G1667" s="36"/>
      <c r="FV1667" s="24"/>
    </row>
    <row r="1668" spans="7:178" x14ac:dyDescent="0.4">
      <c r="G1668" s="36"/>
      <c r="FV1668" s="24"/>
    </row>
    <row r="1669" spans="7:178" x14ac:dyDescent="0.4">
      <c r="G1669" s="36"/>
      <c r="FV1669" s="24"/>
    </row>
    <row r="1670" spans="7:178" x14ac:dyDescent="0.4">
      <c r="G1670" s="36"/>
      <c r="FV1670" s="24"/>
    </row>
    <row r="1671" spans="7:178" x14ac:dyDescent="0.4">
      <c r="G1671" s="36"/>
      <c r="FV1671" s="24"/>
    </row>
    <row r="1672" spans="7:178" x14ac:dyDescent="0.4">
      <c r="G1672" s="36"/>
      <c r="FV1672" s="24"/>
    </row>
    <row r="1673" spans="7:178" x14ac:dyDescent="0.4">
      <c r="G1673" s="36"/>
      <c r="FV1673" s="24"/>
    </row>
    <row r="1674" spans="7:178" x14ac:dyDescent="0.4">
      <c r="G1674" s="36"/>
      <c r="FV1674" s="24"/>
    </row>
    <row r="1675" spans="7:178" x14ac:dyDescent="0.4">
      <c r="G1675" s="36"/>
      <c r="FV1675" s="24"/>
    </row>
    <row r="1676" spans="7:178" x14ac:dyDescent="0.4">
      <c r="G1676" s="36"/>
      <c r="FV1676" s="24"/>
    </row>
    <row r="1677" spans="7:178" x14ac:dyDescent="0.4">
      <c r="G1677" s="36"/>
      <c r="FV1677" s="24"/>
    </row>
    <row r="1678" spans="7:178" x14ac:dyDescent="0.4">
      <c r="G1678" s="36"/>
      <c r="FV1678" s="24"/>
    </row>
    <row r="1679" spans="7:178" x14ac:dyDescent="0.4">
      <c r="G1679" s="36"/>
      <c r="FV1679" s="24"/>
    </row>
    <row r="1680" spans="7:178" x14ac:dyDescent="0.4">
      <c r="G1680" s="36"/>
      <c r="FV1680" s="24"/>
    </row>
    <row r="1681" spans="7:178" x14ac:dyDescent="0.4">
      <c r="G1681" s="36"/>
      <c r="FV1681" s="24"/>
    </row>
    <row r="1682" spans="7:178" x14ac:dyDescent="0.4">
      <c r="G1682" s="36"/>
      <c r="FV1682" s="24"/>
    </row>
    <row r="1683" spans="7:178" x14ac:dyDescent="0.4">
      <c r="G1683" s="36"/>
      <c r="FV1683" s="24"/>
    </row>
    <row r="1684" spans="7:178" x14ac:dyDescent="0.4">
      <c r="G1684" s="36"/>
      <c r="FV1684" s="24"/>
    </row>
    <row r="1685" spans="7:178" x14ac:dyDescent="0.4">
      <c r="G1685" s="36"/>
      <c r="FV1685" s="24"/>
    </row>
    <row r="1686" spans="7:178" x14ac:dyDescent="0.4">
      <c r="G1686" s="36"/>
      <c r="FV1686" s="24"/>
    </row>
    <row r="1687" spans="7:178" x14ac:dyDescent="0.4">
      <c r="G1687" s="36"/>
      <c r="FV1687" s="24"/>
    </row>
    <row r="1688" spans="7:178" x14ac:dyDescent="0.4">
      <c r="G1688" s="36"/>
      <c r="FV1688" s="24"/>
    </row>
    <row r="1689" spans="7:178" x14ac:dyDescent="0.4">
      <c r="G1689" s="36"/>
      <c r="FV1689" s="24"/>
    </row>
    <row r="1690" spans="7:178" x14ac:dyDescent="0.4">
      <c r="G1690" s="36"/>
      <c r="FV1690" s="24"/>
    </row>
    <row r="1691" spans="7:178" x14ac:dyDescent="0.4">
      <c r="G1691" s="36"/>
      <c r="FV1691" s="24"/>
    </row>
    <row r="1692" spans="7:178" x14ac:dyDescent="0.4">
      <c r="G1692" s="36"/>
      <c r="FV1692" s="24"/>
    </row>
    <row r="1693" spans="7:178" x14ac:dyDescent="0.4">
      <c r="G1693" s="36"/>
      <c r="FV1693" s="24"/>
    </row>
    <row r="1694" spans="7:178" x14ac:dyDescent="0.4">
      <c r="G1694" s="36"/>
      <c r="FV1694" s="24"/>
    </row>
    <row r="1695" spans="7:178" x14ac:dyDescent="0.4">
      <c r="G1695" s="36"/>
      <c r="FV1695" s="24"/>
    </row>
    <row r="1696" spans="7:178" x14ac:dyDescent="0.4">
      <c r="G1696" s="36"/>
      <c r="FV1696" s="24"/>
    </row>
    <row r="1697" spans="7:178" x14ac:dyDescent="0.4">
      <c r="G1697" s="36"/>
      <c r="FV1697" s="24"/>
    </row>
    <row r="1698" spans="7:178" x14ac:dyDescent="0.4">
      <c r="G1698" s="36"/>
      <c r="EJ1698" s="31"/>
      <c r="FV1698" s="24"/>
    </row>
    <row r="1699" spans="7:178" x14ac:dyDescent="0.4">
      <c r="G1699" s="36"/>
      <c r="FV1699" s="24"/>
    </row>
    <row r="1700" spans="7:178" x14ac:dyDescent="0.4">
      <c r="G1700" s="36"/>
      <c r="FV1700" s="24"/>
    </row>
    <row r="1701" spans="7:178" x14ac:dyDescent="0.4">
      <c r="G1701" s="36"/>
      <c r="FV1701" s="24"/>
    </row>
    <row r="1702" spans="7:178" x14ac:dyDescent="0.4">
      <c r="G1702" s="36"/>
      <c r="FV1702" s="24"/>
    </row>
    <row r="1703" spans="7:178" x14ac:dyDescent="0.4">
      <c r="G1703" s="36"/>
      <c r="FV1703" s="24"/>
    </row>
    <row r="1704" spans="7:178" x14ac:dyDescent="0.4">
      <c r="G1704" s="36"/>
      <c r="FV1704" s="24"/>
    </row>
    <row r="1705" spans="7:178" x14ac:dyDescent="0.4">
      <c r="G1705" s="36"/>
      <c r="FV1705" s="24"/>
    </row>
    <row r="1706" spans="7:178" x14ac:dyDescent="0.4">
      <c r="G1706" s="36"/>
      <c r="FV1706" s="24"/>
    </row>
    <row r="1707" spans="7:178" x14ac:dyDescent="0.4">
      <c r="G1707" s="36"/>
      <c r="FV1707" s="24"/>
    </row>
    <row r="1708" spans="7:178" x14ac:dyDescent="0.4">
      <c r="G1708" s="36"/>
      <c r="FV1708" s="24"/>
    </row>
    <row r="1709" spans="7:178" x14ac:dyDescent="0.4">
      <c r="G1709" s="36"/>
      <c r="FV1709" s="24"/>
    </row>
    <row r="1710" spans="7:178" x14ac:dyDescent="0.4">
      <c r="G1710" s="36"/>
      <c r="FV1710" s="24"/>
    </row>
    <row r="1711" spans="7:178" x14ac:dyDescent="0.4">
      <c r="G1711" s="36"/>
      <c r="FV1711" s="24"/>
    </row>
    <row r="1712" spans="7:178" x14ac:dyDescent="0.4">
      <c r="G1712" s="36"/>
      <c r="FV1712" s="24"/>
    </row>
    <row r="1713" spans="7:178" x14ac:dyDescent="0.4">
      <c r="G1713" s="36"/>
      <c r="FV1713" s="24"/>
    </row>
    <row r="1714" spans="7:178" x14ac:dyDescent="0.4">
      <c r="G1714" s="36"/>
      <c r="FV1714" s="24"/>
    </row>
    <row r="1715" spans="7:178" x14ac:dyDescent="0.4">
      <c r="G1715" s="36"/>
      <c r="FV1715" s="24"/>
    </row>
    <row r="1716" spans="7:178" x14ac:dyDescent="0.4">
      <c r="G1716" s="36"/>
      <c r="FV1716" s="24"/>
    </row>
    <row r="1717" spans="7:178" x14ac:dyDescent="0.4">
      <c r="G1717" s="36"/>
      <c r="FV1717" s="24"/>
    </row>
    <row r="1718" spans="7:178" x14ac:dyDescent="0.4">
      <c r="G1718" s="36"/>
      <c r="FV1718" s="24"/>
    </row>
    <row r="1719" spans="7:178" x14ac:dyDescent="0.4">
      <c r="G1719" s="36"/>
      <c r="FV1719" s="24"/>
    </row>
    <row r="1720" spans="7:178" x14ac:dyDescent="0.4">
      <c r="G1720" s="36"/>
      <c r="FV1720" s="24"/>
    </row>
    <row r="1721" spans="7:178" x14ac:dyDescent="0.4">
      <c r="G1721" s="36"/>
      <c r="FV1721" s="24"/>
    </row>
    <row r="1722" spans="7:178" x14ac:dyDescent="0.4">
      <c r="G1722" s="36"/>
      <c r="FV1722" s="24"/>
    </row>
    <row r="1723" spans="7:178" x14ac:dyDescent="0.4">
      <c r="G1723" s="36"/>
      <c r="FV1723" s="24"/>
    </row>
    <row r="1724" spans="7:178" x14ac:dyDescent="0.4">
      <c r="G1724" s="36"/>
      <c r="FV1724" s="24"/>
    </row>
    <row r="1725" spans="7:178" x14ac:dyDescent="0.4">
      <c r="G1725" s="36"/>
      <c r="FV1725" s="24"/>
    </row>
    <row r="1726" spans="7:178" x14ac:dyDescent="0.4">
      <c r="G1726" s="36"/>
      <c r="FV1726" s="24"/>
    </row>
    <row r="1727" spans="7:178" x14ac:dyDescent="0.4">
      <c r="G1727" s="36"/>
      <c r="FV1727" s="24"/>
    </row>
    <row r="1728" spans="7:178" x14ac:dyDescent="0.4">
      <c r="G1728" s="36"/>
      <c r="FV1728" s="24"/>
    </row>
    <row r="1729" spans="7:178" x14ac:dyDescent="0.4">
      <c r="G1729" s="36"/>
      <c r="FV1729" s="24"/>
    </row>
    <row r="1730" spans="7:178" x14ac:dyDescent="0.4">
      <c r="G1730" s="36"/>
      <c r="FV1730" s="24"/>
    </row>
    <row r="1731" spans="7:178" x14ac:dyDescent="0.4">
      <c r="G1731" s="36"/>
      <c r="FV1731" s="24"/>
    </row>
    <row r="1732" spans="7:178" x14ac:dyDescent="0.4">
      <c r="G1732" s="36"/>
      <c r="FV1732" s="24"/>
    </row>
    <row r="1733" spans="7:178" x14ac:dyDescent="0.4">
      <c r="G1733" s="36"/>
      <c r="FV1733" s="24"/>
    </row>
    <row r="1734" spans="7:178" x14ac:dyDescent="0.4">
      <c r="G1734" s="36"/>
      <c r="FV1734" s="24"/>
    </row>
    <row r="1735" spans="7:178" x14ac:dyDescent="0.4">
      <c r="G1735" s="36"/>
      <c r="FV1735" s="24"/>
    </row>
    <row r="1736" spans="7:178" x14ac:dyDescent="0.4">
      <c r="G1736" s="36"/>
      <c r="FV1736" s="24"/>
    </row>
    <row r="1737" spans="7:178" x14ac:dyDescent="0.4">
      <c r="G1737" s="36"/>
      <c r="FV1737" s="24"/>
    </row>
    <row r="1738" spans="7:178" x14ac:dyDescent="0.4">
      <c r="G1738" s="36"/>
      <c r="FV1738" s="24"/>
    </row>
    <row r="1739" spans="7:178" x14ac:dyDescent="0.4">
      <c r="G1739" s="36"/>
      <c r="FV1739" s="24"/>
    </row>
    <row r="1740" spans="7:178" x14ac:dyDescent="0.4">
      <c r="G1740" s="36"/>
      <c r="FV1740" s="24"/>
    </row>
    <row r="1741" spans="7:178" x14ac:dyDescent="0.4">
      <c r="G1741" s="36"/>
      <c r="FV1741" s="24"/>
    </row>
    <row r="1742" spans="7:178" x14ac:dyDescent="0.4">
      <c r="G1742" s="36"/>
      <c r="FV1742" s="24"/>
    </row>
    <row r="1743" spans="7:178" x14ac:dyDescent="0.4">
      <c r="G1743" s="36"/>
      <c r="FV1743" s="24"/>
    </row>
    <row r="1744" spans="7:178" x14ac:dyDescent="0.4">
      <c r="G1744" s="36"/>
      <c r="FV1744" s="24"/>
    </row>
    <row r="1745" spans="7:178" x14ac:dyDescent="0.4">
      <c r="G1745" s="36"/>
      <c r="FV1745" s="24"/>
    </row>
    <row r="1746" spans="7:178" x14ac:dyDescent="0.4">
      <c r="G1746" s="36"/>
      <c r="FV1746" s="24"/>
    </row>
    <row r="1747" spans="7:178" x14ac:dyDescent="0.4">
      <c r="G1747" s="36"/>
      <c r="FV1747" s="24"/>
    </row>
    <row r="1748" spans="7:178" x14ac:dyDescent="0.4">
      <c r="G1748" s="36"/>
      <c r="FV1748" s="24"/>
    </row>
    <row r="1749" spans="7:178" x14ac:dyDescent="0.4">
      <c r="G1749" s="36"/>
      <c r="FV1749" s="24"/>
    </row>
    <row r="1750" spans="7:178" x14ac:dyDescent="0.4">
      <c r="G1750" s="36"/>
      <c r="FV1750" s="24"/>
    </row>
    <row r="1751" spans="7:178" x14ac:dyDescent="0.4">
      <c r="G1751" s="36"/>
      <c r="FV1751" s="24"/>
    </row>
    <row r="1752" spans="7:178" x14ac:dyDescent="0.4">
      <c r="G1752" s="36"/>
      <c r="FV1752" s="24"/>
    </row>
    <row r="1753" spans="7:178" x14ac:dyDescent="0.4">
      <c r="G1753" s="36"/>
      <c r="FV1753" s="24"/>
    </row>
    <row r="1754" spans="7:178" x14ac:dyDescent="0.4">
      <c r="G1754" s="36"/>
      <c r="FV1754" s="24"/>
    </row>
    <row r="1755" spans="7:178" x14ac:dyDescent="0.4">
      <c r="G1755" s="36"/>
      <c r="FV1755" s="24"/>
    </row>
    <row r="1756" spans="7:178" x14ac:dyDescent="0.4">
      <c r="G1756" s="36"/>
      <c r="FV1756" s="24"/>
    </row>
    <row r="1757" spans="7:178" x14ac:dyDescent="0.4">
      <c r="G1757" s="36"/>
      <c r="FV1757" s="24"/>
    </row>
    <row r="1758" spans="7:178" x14ac:dyDescent="0.4">
      <c r="G1758" s="36"/>
      <c r="FV1758" s="24"/>
    </row>
    <row r="1759" spans="7:178" x14ac:dyDescent="0.4">
      <c r="G1759" s="36"/>
      <c r="FV1759" s="24"/>
    </row>
    <row r="1760" spans="7:178" x14ac:dyDescent="0.4">
      <c r="G1760" s="36"/>
      <c r="FV1760" s="24"/>
    </row>
    <row r="1761" spans="7:178" x14ac:dyDescent="0.4">
      <c r="G1761" s="36"/>
      <c r="FV1761" s="24"/>
    </row>
    <row r="1762" spans="7:178" x14ac:dyDescent="0.4">
      <c r="G1762" s="36"/>
      <c r="FV1762" s="24"/>
    </row>
    <row r="1763" spans="7:178" x14ac:dyDescent="0.4">
      <c r="G1763" s="36"/>
      <c r="FV1763" s="24"/>
    </row>
    <row r="1764" spans="7:178" x14ac:dyDescent="0.4">
      <c r="G1764" s="36"/>
      <c r="FV1764" s="24"/>
    </row>
    <row r="1765" spans="7:178" x14ac:dyDescent="0.4">
      <c r="G1765" s="36"/>
      <c r="FV1765" s="24"/>
    </row>
    <row r="1766" spans="7:178" x14ac:dyDescent="0.4">
      <c r="G1766" s="36"/>
      <c r="FV1766" s="24"/>
    </row>
    <row r="1767" spans="7:178" x14ac:dyDescent="0.4">
      <c r="G1767" s="36"/>
      <c r="FV1767" s="24"/>
    </row>
    <row r="1768" spans="7:178" x14ac:dyDescent="0.4">
      <c r="G1768" s="36"/>
      <c r="FV1768" s="24"/>
    </row>
    <row r="1769" spans="7:178" x14ac:dyDescent="0.4">
      <c r="G1769" s="36"/>
      <c r="FV1769" s="24"/>
    </row>
    <row r="1770" spans="7:178" x14ac:dyDescent="0.4">
      <c r="G1770" s="36"/>
      <c r="FV1770" s="24"/>
    </row>
    <row r="1771" spans="7:178" x14ac:dyDescent="0.4">
      <c r="G1771" s="36"/>
      <c r="FV1771" s="24"/>
    </row>
    <row r="1772" spans="7:178" x14ac:dyDescent="0.4">
      <c r="G1772" s="36"/>
      <c r="FV1772" s="24"/>
    </row>
    <row r="1773" spans="7:178" x14ac:dyDescent="0.4">
      <c r="G1773" s="36"/>
      <c r="FV1773" s="24"/>
    </row>
    <row r="1774" spans="7:178" x14ac:dyDescent="0.4">
      <c r="G1774" s="36"/>
      <c r="FV1774" s="24"/>
    </row>
    <row r="1775" spans="7:178" x14ac:dyDescent="0.4">
      <c r="G1775" s="36"/>
      <c r="FV1775" s="24"/>
    </row>
    <row r="1776" spans="7:178" x14ac:dyDescent="0.4">
      <c r="G1776" s="36"/>
      <c r="FV1776" s="24"/>
    </row>
    <row r="1777" spans="7:178" x14ac:dyDescent="0.4">
      <c r="G1777" s="36"/>
      <c r="FV1777" s="24"/>
    </row>
    <row r="1778" spans="7:178" x14ac:dyDescent="0.4">
      <c r="G1778" s="36"/>
      <c r="FV1778" s="24"/>
    </row>
    <row r="1779" spans="7:178" x14ac:dyDescent="0.4">
      <c r="G1779" s="36"/>
      <c r="FV1779" s="24"/>
    </row>
    <row r="1780" spans="7:178" x14ac:dyDescent="0.4">
      <c r="G1780" s="36"/>
      <c r="FV1780" s="24"/>
    </row>
    <row r="1781" spans="7:178" x14ac:dyDescent="0.4">
      <c r="G1781" s="36"/>
      <c r="FV1781" s="24"/>
    </row>
    <row r="1782" spans="7:178" x14ac:dyDescent="0.4">
      <c r="G1782" s="36"/>
      <c r="FV1782" s="24"/>
    </row>
    <row r="1783" spans="7:178" x14ac:dyDescent="0.4">
      <c r="G1783" s="36"/>
      <c r="FV1783" s="24"/>
    </row>
    <row r="1784" spans="7:178" x14ac:dyDescent="0.4">
      <c r="G1784" s="36"/>
      <c r="FV1784" s="24"/>
    </row>
    <row r="1785" spans="7:178" x14ac:dyDescent="0.4">
      <c r="G1785" s="36"/>
      <c r="FV1785" s="24"/>
    </row>
    <row r="1786" spans="7:178" x14ac:dyDescent="0.4">
      <c r="G1786" s="36"/>
      <c r="FV1786" s="24"/>
    </row>
    <row r="1787" spans="7:178" x14ac:dyDescent="0.4">
      <c r="G1787" s="36"/>
      <c r="FV1787" s="24"/>
    </row>
    <row r="1788" spans="7:178" x14ac:dyDescent="0.4">
      <c r="G1788" s="36"/>
      <c r="FV1788" s="24"/>
    </row>
    <row r="1789" spans="7:178" x14ac:dyDescent="0.4">
      <c r="G1789" s="36"/>
      <c r="FV1789" s="24"/>
    </row>
    <row r="1790" spans="7:178" x14ac:dyDescent="0.4">
      <c r="G1790" s="36"/>
      <c r="FV1790" s="24"/>
    </row>
    <row r="1791" spans="7:178" x14ac:dyDescent="0.4">
      <c r="G1791" s="36"/>
      <c r="FV1791" s="24"/>
    </row>
    <row r="1792" spans="7:178" x14ac:dyDescent="0.4">
      <c r="G1792" s="36"/>
      <c r="FV1792" s="24"/>
    </row>
    <row r="1793" spans="7:178" x14ac:dyDescent="0.4">
      <c r="G1793" s="36"/>
      <c r="FV1793" s="24"/>
    </row>
    <row r="1794" spans="7:178" x14ac:dyDescent="0.4">
      <c r="G1794" s="36"/>
      <c r="FV1794" s="24"/>
    </row>
    <row r="1795" spans="7:178" x14ac:dyDescent="0.4">
      <c r="G1795" s="36"/>
      <c r="FV1795" s="24"/>
    </row>
    <row r="1796" spans="7:178" x14ac:dyDescent="0.4">
      <c r="G1796" s="36"/>
      <c r="FV1796" s="24"/>
    </row>
    <row r="1797" spans="7:178" x14ac:dyDescent="0.4">
      <c r="G1797" s="36"/>
      <c r="FV1797" s="24"/>
    </row>
    <row r="1798" spans="7:178" x14ac:dyDescent="0.4">
      <c r="G1798" s="36"/>
      <c r="FV1798" s="24"/>
    </row>
    <row r="1799" spans="7:178" x14ac:dyDescent="0.4">
      <c r="G1799" s="36"/>
      <c r="FV1799" s="24"/>
    </row>
    <row r="1800" spans="7:178" x14ac:dyDescent="0.4">
      <c r="G1800" s="36"/>
      <c r="FV1800" s="24"/>
    </row>
    <row r="1801" spans="7:178" x14ac:dyDescent="0.4">
      <c r="G1801" s="36"/>
      <c r="FV1801" s="24"/>
    </row>
    <row r="1802" spans="7:178" x14ac:dyDescent="0.4">
      <c r="G1802" s="36"/>
      <c r="FV1802" s="24"/>
    </row>
    <row r="1803" spans="7:178" x14ac:dyDescent="0.4">
      <c r="G1803" s="36"/>
      <c r="FV1803" s="24"/>
    </row>
    <row r="1804" spans="7:178" x14ac:dyDescent="0.4">
      <c r="G1804" s="36"/>
      <c r="FV1804" s="24"/>
    </row>
    <row r="1805" spans="7:178" x14ac:dyDescent="0.4">
      <c r="G1805" s="36"/>
      <c r="FV1805" s="24"/>
    </row>
    <row r="1806" spans="7:178" x14ac:dyDescent="0.4">
      <c r="G1806" s="36"/>
      <c r="FV1806" s="24"/>
    </row>
    <row r="1807" spans="7:178" x14ac:dyDescent="0.4">
      <c r="G1807" s="36"/>
      <c r="FV1807" s="24"/>
    </row>
    <row r="1808" spans="7:178" x14ac:dyDescent="0.4">
      <c r="G1808" s="36"/>
      <c r="FV1808" s="24"/>
    </row>
    <row r="1809" spans="7:178" x14ac:dyDescent="0.4">
      <c r="G1809" s="36"/>
      <c r="FV1809" s="24"/>
    </row>
    <row r="1810" spans="7:178" x14ac:dyDescent="0.4">
      <c r="G1810" s="36"/>
      <c r="FV1810" s="24"/>
    </row>
    <row r="1811" spans="7:178" x14ac:dyDescent="0.4">
      <c r="G1811" s="36"/>
      <c r="FV1811" s="24"/>
    </row>
    <row r="1812" spans="7:178" x14ac:dyDescent="0.4">
      <c r="G1812" s="36"/>
      <c r="FV1812" s="24"/>
    </row>
    <row r="1813" spans="7:178" x14ac:dyDescent="0.4">
      <c r="G1813" s="36"/>
      <c r="FV1813" s="24"/>
    </row>
    <row r="1814" spans="7:178" x14ac:dyDescent="0.4">
      <c r="G1814" s="36"/>
      <c r="FV1814" s="24"/>
    </row>
    <row r="1815" spans="7:178" x14ac:dyDescent="0.4">
      <c r="G1815" s="36"/>
      <c r="FV1815" s="24"/>
    </row>
    <row r="1816" spans="7:178" x14ac:dyDescent="0.4">
      <c r="G1816" s="36"/>
      <c r="FV1816" s="24"/>
    </row>
    <row r="1817" spans="7:178" x14ac:dyDescent="0.4">
      <c r="G1817" s="36"/>
      <c r="FV1817" s="24"/>
    </row>
    <row r="1818" spans="7:178" x14ac:dyDescent="0.4">
      <c r="G1818" s="36"/>
      <c r="FV1818" s="24"/>
    </row>
    <row r="1819" spans="7:178" x14ac:dyDescent="0.4">
      <c r="G1819" s="36"/>
      <c r="FV1819" s="24"/>
    </row>
    <row r="1820" spans="7:178" x14ac:dyDescent="0.4">
      <c r="G1820" s="36"/>
      <c r="FV1820" s="24"/>
    </row>
    <row r="1821" spans="7:178" x14ac:dyDescent="0.4">
      <c r="G1821" s="36"/>
      <c r="FV1821" s="24"/>
    </row>
    <row r="1822" spans="7:178" x14ac:dyDescent="0.4">
      <c r="G1822" s="36"/>
      <c r="FV1822" s="24"/>
    </row>
    <row r="1823" spans="7:178" x14ac:dyDescent="0.4">
      <c r="G1823" s="36"/>
      <c r="FV1823" s="24"/>
    </row>
    <row r="1824" spans="7:178" x14ac:dyDescent="0.4">
      <c r="G1824" s="36"/>
      <c r="FV1824" s="24"/>
    </row>
    <row r="1825" spans="7:178" x14ac:dyDescent="0.4">
      <c r="G1825" s="36"/>
      <c r="FV1825" s="24"/>
    </row>
    <row r="1826" spans="7:178" x14ac:dyDescent="0.4">
      <c r="G1826" s="36"/>
      <c r="FV1826" s="24"/>
    </row>
    <row r="1827" spans="7:178" x14ac:dyDescent="0.4">
      <c r="G1827" s="36"/>
      <c r="FV1827" s="24"/>
    </row>
    <row r="1828" spans="7:178" x14ac:dyDescent="0.4">
      <c r="G1828" s="36"/>
      <c r="FV1828" s="24"/>
    </row>
    <row r="1829" spans="7:178" x14ac:dyDescent="0.4">
      <c r="G1829" s="36"/>
      <c r="FV1829" s="24"/>
    </row>
    <row r="1830" spans="7:178" x14ac:dyDescent="0.4">
      <c r="G1830" s="36"/>
      <c r="FV1830" s="24"/>
    </row>
    <row r="1831" spans="7:178" x14ac:dyDescent="0.4">
      <c r="G1831" s="36"/>
      <c r="FV1831" s="24"/>
    </row>
    <row r="1832" spans="7:178" x14ac:dyDescent="0.4">
      <c r="G1832" s="36"/>
      <c r="FV1832" s="24"/>
    </row>
    <row r="1833" spans="7:178" x14ac:dyDescent="0.4">
      <c r="G1833" s="36"/>
      <c r="FV1833" s="24"/>
    </row>
    <row r="1834" spans="7:178" x14ac:dyDescent="0.4">
      <c r="G1834" s="36"/>
      <c r="FV1834" s="24"/>
    </row>
    <row r="1835" spans="7:178" x14ac:dyDescent="0.4">
      <c r="G1835" s="36"/>
      <c r="FV1835" s="24"/>
    </row>
    <row r="1836" spans="7:178" x14ac:dyDescent="0.4">
      <c r="G1836" s="36"/>
      <c r="FV1836" s="24"/>
    </row>
    <row r="1837" spans="7:178" x14ac:dyDescent="0.4">
      <c r="G1837" s="36"/>
      <c r="FV1837" s="24"/>
    </row>
    <row r="1838" spans="7:178" x14ac:dyDescent="0.4">
      <c r="G1838" s="36"/>
      <c r="FV1838" s="24"/>
    </row>
    <row r="1839" spans="7:178" x14ac:dyDescent="0.4">
      <c r="G1839" s="36"/>
      <c r="FV1839" s="24"/>
    </row>
    <row r="1840" spans="7:178" x14ac:dyDescent="0.4">
      <c r="G1840" s="36"/>
      <c r="FV1840" s="24"/>
    </row>
    <row r="1841" spans="7:178" x14ac:dyDescent="0.4">
      <c r="G1841" s="36"/>
      <c r="FV1841" s="24"/>
    </row>
    <row r="1842" spans="7:178" x14ac:dyDescent="0.4">
      <c r="G1842" s="36"/>
      <c r="FV1842" s="24"/>
    </row>
    <row r="1843" spans="7:178" x14ac:dyDescent="0.4">
      <c r="G1843" s="36"/>
      <c r="FV1843" s="24"/>
    </row>
    <row r="1844" spans="7:178" x14ac:dyDescent="0.4">
      <c r="G1844" s="36"/>
      <c r="FV1844" s="24"/>
    </row>
    <row r="1845" spans="7:178" x14ac:dyDescent="0.4">
      <c r="G1845" s="36"/>
      <c r="FV1845" s="24"/>
    </row>
    <row r="1846" spans="7:178" x14ac:dyDescent="0.4">
      <c r="G1846" s="36"/>
      <c r="FV1846" s="24"/>
    </row>
    <row r="1847" spans="7:178" x14ac:dyDescent="0.4">
      <c r="G1847" s="36"/>
      <c r="FV1847" s="24"/>
    </row>
    <row r="1848" spans="7:178" x14ac:dyDescent="0.4">
      <c r="G1848" s="36"/>
      <c r="FV1848" s="24"/>
    </row>
    <row r="1849" spans="7:178" x14ac:dyDescent="0.4">
      <c r="G1849" s="36"/>
      <c r="FV1849" s="24"/>
    </row>
    <row r="1850" spans="7:178" x14ac:dyDescent="0.4">
      <c r="G1850" s="36"/>
      <c r="FV1850" s="24"/>
    </row>
    <row r="1851" spans="7:178" x14ac:dyDescent="0.4">
      <c r="G1851" s="36"/>
      <c r="FV1851" s="24"/>
    </row>
    <row r="1852" spans="7:178" x14ac:dyDescent="0.4">
      <c r="G1852" s="36"/>
      <c r="FV1852" s="24"/>
    </row>
    <row r="1853" spans="7:178" x14ac:dyDescent="0.4">
      <c r="G1853" s="36"/>
      <c r="FV1853" s="24"/>
    </row>
    <row r="1854" spans="7:178" x14ac:dyDescent="0.4">
      <c r="G1854" s="36"/>
      <c r="FV1854" s="24"/>
    </row>
    <row r="1855" spans="7:178" x14ac:dyDescent="0.4">
      <c r="G1855" s="36"/>
      <c r="FV1855" s="24"/>
    </row>
    <row r="1856" spans="7:178" x14ac:dyDescent="0.4">
      <c r="G1856" s="36"/>
      <c r="FV1856" s="24"/>
    </row>
    <row r="1857" spans="7:178" x14ac:dyDescent="0.4">
      <c r="G1857" s="36"/>
      <c r="FV1857" s="24"/>
    </row>
    <row r="1858" spans="7:178" x14ac:dyDescent="0.4">
      <c r="G1858" s="36"/>
      <c r="FV1858" s="24"/>
    </row>
    <row r="1859" spans="7:178" x14ac:dyDescent="0.4">
      <c r="G1859" s="36"/>
      <c r="FV1859" s="24"/>
    </row>
    <row r="1860" spans="7:178" x14ac:dyDescent="0.4">
      <c r="G1860" s="36"/>
      <c r="FV1860" s="24"/>
    </row>
    <row r="1861" spans="7:178" x14ac:dyDescent="0.4">
      <c r="G1861" s="36"/>
      <c r="FV1861" s="24"/>
    </row>
    <row r="1862" spans="7:178" x14ac:dyDescent="0.4">
      <c r="G1862" s="36"/>
      <c r="FV1862" s="24"/>
    </row>
    <row r="1863" spans="7:178" x14ac:dyDescent="0.4">
      <c r="G1863" s="36"/>
      <c r="FV1863" s="24"/>
    </row>
    <row r="1864" spans="7:178" x14ac:dyDescent="0.4">
      <c r="G1864" s="36"/>
      <c r="FV1864" s="24"/>
    </row>
    <row r="1865" spans="7:178" x14ac:dyDescent="0.4">
      <c r="G1865" s="36"/>
      <c r="FV1865" s="24"/>
    </row>
    <row r="1866" spans="7:178" x14ac:dyDescent="0.4">
      <c r="G1866" s="36"/>
      <c r="FV1866" s="24"/>
    </row>
    <row r="1867" spans="7:178" x14ac:dyDescent="0.4">
      <c r="G1867" s="36"/>
      <c r="FV1867" s="24"/>
    </row>
    <row r="1868" spans="7:178" x14ac:dyDescent="0.4">
      <c r="G1868" s="36"/>
      <c r="FV1868" s="24"/>
    </row>
    <row r="1869" spans="7:178" x14ac:dyDescent="0.4">
      <c r="G1869" s="36"/>
      <c r="FV1869" s="24"/>
    </row>
    <row r="1870" spans="7:178" x14ac:dyDescent="0.4">
      <c r="G1870" s="36"/>
      <c r="FV1870" s="24"/>
    </row>
    <row r="1871" spans="7:178" x14ac:dyDescent="0.4">
      <c r="G1871" s="36"/>
      <c r="FV1871" s="24"/>
    </row>
    <row r="1872" spans="7:178" x14ac:dyDescent="0.4">
      <c r="G1872" s="36"/>
      <c r="FV1872" s="24"/>
    </row>
    <row r="1873" spans="7:178" x14ac:dyDescent="0.4">
      <c r="G1873" s="36"/>
      <c r="FV1873" s="24"/>
    </row>
    <row r="1874" spans="7:178" x14ac:dyDescent="0.4">
      <c r="G1874" s="36"/>
      <c r="FV1874" s="24"/>
    </row>
    <row r="1875" spans="7:178" x14ac:dyDescent="0.4">
      <c r="G1875" s="36"/>
      <c r="FV1875" s="24"/>
    </row>
    <row r="1876" spans="7:178" x14ac:dyDescent="0.4">
      <c r="G1876" s="36"/>
      <c r="FV1876" s="24"/>
    </row>
    <row r="1877" spans="7:178" x14ac:dyDescent="0.4">
      <c r="G1877" s="36"/>
      <c r="FV1877" s="24"/>
    </row>
    <row r="1878" spans="7:178" x14ac:dyDescent="0.4">
      <c r="G1878" s="36"/>
      <c r="FV1878" s="24"/>
    </row>
    <row r="1879" spans="7:178" x14ac:dyDescent="0.4">
      <c r="G1879" s="36"/>
      <c r="FV1879" s="24"/>
    </row>
    <row r="1880" spans="7:178" x14ac:dyDescent="0.4">
      <c r="G1880" s="36"/>
      <c r="FV1880" s="24"/>
    </row>
    <row r="1881" spans="7:178" x14ac:dyDescent="0.4">
      <c r="G1881" s="36"/>
      <c r="FV1881" s="24"/>
    </row>
    <row r="1882" spans="7:178" x14ac:dyDescent="0.4">
      <c r="G1882" s="36"/>
      <c r="FV1882" s="24"/>
    </row>
    <row r="1883" spans="7:178" x14ac:dyDescent="0.4">
      <c r="G1883" s="36"/>
      <c r="FV1883" s="24"/>
    </row>
    <row r="1884" spans="7:178" x14ac:dyDescent="0.4">
      <c r="G1884" s="36"/>
      <c r="FV1884" s="24"/>
    </row>
    <row r="1885" spans="7:178" x14ac:dyDescent="0.4">
      <c r="G1885" s="36"/>
      <c r="FV1885" s="24"/>
    </row>
    <row r="1886" spans="7:178" x14ac:dyDescent="0.4">
      <c r="G1886" s="36"/>
      <c r="FV1886" s="24"/>
    </row>
    <row r="1887" spans="7:178" x14ac:dyDescent="0.4">
      <c r="G1887" s="36"/>
      <c r="FV1887" s="24"/>
    </row>
    <row r="1888" spans="7:178" x14ac:dyDescent="0.4">
      <c r="G1888" s="36"/>
      <c r="FV1888" s="24"/>
    </row>
    <row r="1889" spans="7:178" x14ac:dyDescent="0.4">
      <c r="G1889" s="36"/>
      <c r="FV1889" s="24"/>
    </row>
    <row r="1890" spans="7:178" x14ac:dyDescent="0.4">
      <c r="G1890" s="36"/>
      <c r="FV1890" s="24"/>
    </row>
    <row r="1891" spans="7:178" x14ac:dyDescent="0.4">
      <c r="G1891" s="36"/>
      <c r="FV1891" s="24"/>
    </row>
    <row r="1892" spans="7:178" x14ac:dyDescent="0.4">
      <c r="G1892" s="36"/>
      <c r="FV1892" s="24"/>
    </row>
    <row r="1893" spans="7:178" x14ac:dyDescent="0.4">
      <c r="G1893" s="36"/>
      <c r="FV1893" s="24"/>
    </row>
    <row r="1894" spans="7:178" x14ac:dyDescent="0.4">
      <c r="G1894" s="36"/>
      <c r="FV1894" s="24"/>
    </row>
    <row r="1895" spans="7:178" x14ac:dyDescent="0.4">
      <c r="G1895" s="36"/>
      <c r="FV1895" s="24"/>
    </row>
    <row r="1896" spans="7:178" x14ac:dyDescent="0.4">
      <c r="G1896" s="36"/>
      <c r="FV1896" s="24"/>
    </row>
    <row r="1897" spans="7:178" x14ac:dyDescent="0.4">
      <c r="G1897" s="36"/>
      <c r="FV1897" s="24"/>
    </row>
    <row r="1898" spans="7:178" x14ac:dyDescent="0.4">
      <c r="G1898" s="36"/>
      <c r="FV1898" s="24"/>
    </row>
    <row r="1899" spans="7:178" x14ac:dyDescent="0.4">
      <c r="G1899" s="36"/>
      <c r="FV1899" s="24"/>
    </row>
    <row r="1900" spans="7:178" x14ac:dyDescent="0.4">
      <c r="G1900" s="36"/>
      <c r="FV1900" s="24"/>
    </row>
    <row r="1901" spans="7:178" x14ac:dyDescent="0.4">
      <c r="G1901" s="36"/>
      <c r="FV1901" s="24"/>
    </row>
    <row r="1902" spans="7:178" x14ac:dyDescent="0.4">
      <c r="G1902" s="36"/>
      <c r="FV1902" s="24"/>
    </row>
    <row r="1903" spans="7:178" x14ac:dyDescent="0.4">
      <c r="G1903" s="36"/>
      <c r="FV1903" s="24"/>
    </row>
    <row r="1904" spans="7:178" x14ac:dyDescent="0.4">
      <c r="G1904" s="36"/>
      <c r="FV1904" s="24"/>
    </row>
    <row r="1905" spans="7:178" x14ac:dyDescent="0.4">
      <c r="G1905" s="36"/>
      <c r="FV1905" s="24"/>
    </row>
    <row r="1906" spans="7:178" x14ac:dyDescent="0.4">
      <c r="G1906" s="36"/>
      <c r="FV1906" s="24"/>
    </row>
    <row r="1907" spans="7:178" x14ac:dyDescent="0.4">
      <c r="G1907" s="36"/>
      <c r="FV1907" s="24"/>
    </row>
    <row r="1908" spans="7:178" x14ac:dyDescent="0.4">
      <c r="G1908" s="36"/>
      <c r="FV1908" s="24"/>
    </row>
    <row r="1909" spans="7:178" x14ac:dyDescent="0.4">
      <c r="G1909" s="36"/>
      <c r="FV1909" s="24"/>
    </row>
    <row r="1910" spans="7:178" x14ac:dyDescent="0.4">
      <c r="G1910" s="36"/>
      <c r="FV1910" s="24"/>
    </row>
    <row r="1911" spans="7:178" x14ac:dyDescent="0.4">
      <c r="G1911" s="36"/>
      <c r="FV1911" s="24"/>
    </row>
    <row r="1912" spans="7:178" x14ac:dyDescent="0.4">
      <c r="G1912" s="36"/>
      <c r="FV1912" s="24"/>
    </row>
    <row r="1913" spans="7:178" x14ac:dyDescent="0.4">
      <c r="G1913" s="36"/>
      <c r="FV1913" s="24"/>
    </row>
    <row r="1914" spans="7:178" x14ac:dyDescent="0.4">
      <c r="G1914" s="36"/>
      <c r="FV1914" s="24"/>
    </row>
    <row r="1915" spans="7:178" x14ac:dyDescent="0.4">
      <c r="G1915" s="36"/>
      <c r="FV1915" s="24"/>
    </row>
    <row r="1916" spans="7:178" x14ac:dyDescent="0.4">
      <c r="G1916" s="36"/>
      <c r="FV1916" s="24"/>
    </row>
    <row r="1917" spans="7:178" x14ac:dyDescent="0.4">
      <c r="G1917" s="36"/>
      <c r="FV1917" s="24"/>
    </row>
    <row r="1918" spans="7:178" x14ac:dyDescent="0.4">
      <c r="G1918" s="36"/>
      <c r="FV1918" s="24"/>
    </row>
    <row r="1919" spans="7:178" x14ac:dyDescent="0.4">
      <c r="G1919" s="36"/>
      <c r="FV1919" s="24"/>
    </row>
    <row r="1920" spans="7:178" x14ac:dyDescent="0.4">
      <c r="G1920" s="36"/>
      <c r="FV1920" s="24"/>
    </row>
    <row r="1921" spans="7:178" x14ac:dyDescent="0.4">
      <c r="G1921" s="36"/>
      <c r="FV1921" s="24"/>
    </row>
    <row r="1922" spans="7:178" x14ac:dyDescent="0.4">
      <c r="G1922" s="36"/>
      <c r="FV1922" s="24"/>
    </row>
    <row r="1923" spans="7:178" x14ac:dyDescent="0.4">
      <c r="G1923" s="36"/>
      <c r="FV1923" s="24"/>
    </row>
    <row r="1924" spans="7:178" x14ac:dyDescent="0.4">
      <c r="G1924" s="36"/>
      <c r="FV1924" s="24"/>
    </row>
    <row r="1925" spans="7:178" x14ac:dyDescent="0.4">
      <c r="G1925" s="36"/>
      <c r="FV1925" s="24"/>
    </row>
    <row r="1926" spans="7:178" x14ac:dyDescent="0.4">
      <c r="G1926" s="36"/>
      <c r="FV1926" s="24"/>
    </row>
    <row r="1927" spans="7:178" x14ac:dyDescent="0.4">
      <c r="G1927" s="36"/>
      <c r="FV1927" s="24"/>
    </row>
    <row r="1928" spans="7:178" x14ac:dyDescent="0.4">
      <c r="G1928" s="36"/>
      <c r="FV1928" s="24"/>
    </row>
    <row r="1929" spans="7:178" x14ac:dyDescent="0.4">
      <c r="G1929" s="36"/>
      <c r="FV1929" s="24"/>
    </row>
    <row r="1930" spans="7:178" x14ac:dyDescent="0.4">
      <c r="G1930" s="36"/>
      <c r="FV1930" s="24"/>
    </row>
    <row r="1931" spans="7:178" x14ac:dyDescent="0.4">
      <c r="G1931" s="36"/>
      <c r="FV1931" s="24"/>
    </row>
    <row r="1932" spans="7:178" x14ac:dyDescent="0.4">
      <c r="G1932" s="36"/>
      <c r="FV1932" s="24"/>
    </row>
    <row r="1933" spans="7:178" x14ac:dyDescent="0.4">
      <c r="G1933" s="36"/>
      <c r="FV1933" s="24"/>
    </row>
    <row r="1934" spans="7:178" x14ac:dyDescent="0.4">
      <c r="G1934" s="36"/>
      <c r="FV1934" s="24"/>
    </row>
    <row r="1935" spans="7:178" x14ac:dyDescent="0.4">
      <c r="G1935" s="36"/>
      <c r="FV1935" s="24"/>
    </row>
    <row r="1936" spans="7:178" x14ac:dyDescent="0.4">
      <c r="G1936" s="36"/>
      <c r="FV1936" s="24"/>
    </row>
    <row r="1937" spans="7:178" x14ac:dyDescent="0.4">
      <c r="G1937" s="36"/>
      <c r="FV1937" s="24"/>
    </row>
    <row r="1938" spans="7:178" x14ac:dyDescent="0.4">
      <c r="G1938" s="36"/>
      <c r="FV1938" s="24"/>
    </row>
    <row r="1939" spans="7:178" x14ac:dyDescent="0.4">
      <c r="G1939" s="36"/>
      <c r="FV1939" s="24"/>
    </row>
    <row r="1940" spans="7:178" x14ac:dyDescent="0.4">
      <c r="G1940" s="36"/>
      <c r="FV1940" s="24"/>
    </row>
    <row r="1941" spans="7:178" x14ac:dyDescent="0.4">
      <c r="G1941" s="36"/>
      <c r="FV1941" s="24"/>
    </row>
    <row r="1942" spans="7:178" x14ac:dyDescent="0.4">
      <c r="G1942" s="36"/>
      <c r="FV1942" s="24"/>
    </row>
    <row r="1943" spans="7:178" x14ac:dyDescent="0.4">
      <c r="G1943" s="36"/>
      <c r="FV1943" s="24"/>
    </row>
    <row r="1944" spans="7:178" x14ac:dyDescent="0.4">
      <c r="G1944" s="36"/>
      <c r="FV1944" s="24"/>
    </row>
    <row r="1945" spans="7:178" x14ac:dyDescent="0.4">
      <c r="G1945" s="36"/>
      <c r="FV1945" s="24"/>
    </row>
    <row r="1946" spans="7:178" x14ac:dyDescent="0.4">
      <c r="G1946" s="36"/>
      <c r="FV1946" s="24"/>
    </row>
    <row r="1947" spans="7:178" x14ac:dyDescent="0.4">
      <c r="G1947" s="36"/>
      <c r="FV1947" s="24"/>
    </row>
    <row r="1948" spans="7:178" x14ac:dyDescent="0.4">
      <c r="G1948" s="36"/>
      <c r="FV1948" s="24"/>
    </row>
    <row r="1949" spans="7:178" x14ac:dyDescent="0.4">
      <c r="G1949" s="36"/>
      <c r="FV1949" s="24"/>
    </row>
    <row r="1950" spans="7:178" x14ac:dyDescent="0.4">
      <c r="G1950" s="36"/>
      <c r="FV1950" s="24"/>
    </row>
    <row r="1951" spans="7:178" x14ac:dyDescent="0.4">
      <c r="G1951" s="36"/>
      <c r="FV1951" s="24"/>
    </row>
    <row r="1952" spans="7:178" x14ac:dyDescent="0.4">
      <c r="G1952" s="36"/>
      <c r="FV1952" s="24"/>
    </row>
    <row r="1953" spans="7:178" x14ac:dyDescent="0.4">
      <c r="G1953" s="36"/>
      <c r="FV1953" s="24"/>
    </row>
    <row r="1954" spans="7:178" x14ac:dyDescent="0.4">
      <c r="G1954" s="36"/>
      <c r="FV1954" s="24"/>
    </row>
    <row r="1955" spans="7:178" x14ac:dyDescent="0.4">
      <c r="G1955" s="36"/>
      <c r="FV1955" s="24"/>
    </row>
    <row r="1956" spans="7:178" x14ac:dyDescent="0.4">
      <c r="G1956" s="36"/>
      <c r="FV1956" s="24"/>
    </row>
    <row r="1957" spans="7:178" x14ac:dyDescent="0.4">
      <c r="G1957" s="36"/>
      <c r="FV1957" s="24"/>
    </row>
    <row r="1958" spans="7:178" x14ac:dyDescent="0.4">
      <c r="G1958" s="36"/>
      <c r="FV1958" s="24"/>
    </row>
    <row r="1959" spans="7:178" x14ac:dyDescent="0.4">
      <c r="G1959" s="36"/>
      <c r="FV1959" s="24"/>
    </row>
    <row r="1960" spans="7:178" x14ac:dyDescent="0.4">
      <c r="G1960" s="36"/>
      <c r="FV1960" s="24"/>
    </row>
    <row r="1961" spans="7:178" x14ac:dyDescent="0.4">
      <c r="G1961" s="36"/>
      <c r="FV1961" s="24"/>
    </row>
    <row r="1962" spans="7:178" x14ac:dyDescent="0.4">
      <c r="G1962" s="36"/>
      <c r="FV1962" s="24"/>
    </row>
    <row r="1963" spans="7:178" x14ac:dyDescent="0.4">
      <c r="G1963" s="36"/>
      <c r="FV1963" s="24"/>
    </row>
    <row r="1964" spans="7:178" x14ac:dyDescent="0.4">
      <c r="G1964" s="36"/>
      <c r="FV1964" s="24"/>
    </row>
    <row r="1965" spans="7:178" x14ac:dyDescent="0.4">
      <c r="G1965" s="36"/>
      <c r="FV1965" s="24"/>
    </row>
    <row r="1966" spans="7:178" x14ac:dyDescent="0.4">
      <c r="G1966" s="36"/>
      <c r="FV1966" s="24"/>
    </row>
    <row r="1967" spans="7:178" x14ac:dyDescent="0.4">
      <c r="G1967" s="36"/>
      <c r="FV1967" s="24"/>
    </row>
    <row r="1968" spans="7:178" x14ac:dyDescent="0.4">
      <c r="G1968" s="36"/>
      <c r="FV1968" s="24"/>
    </row>
    <row r="1969" spans="7:178" x14ac:dyDescent="0.4">
      <c r="G1969" s="36"/>
      <c r="FV1969" s="24"/>
    </row>
    <row r="1970" spans="7:178" x14ac:dyDescent="0.4">
      <c r="G1970" s="36"/>
      <c r="FV1970" s="24"/>
    </row>
    <row r="1971" spans="7:178" x14ac:dyDescent="0.4">
      <c r="G1971" s="36"/>
      <c r="FV1971" s="24"/>
    </row>
    <row r="1972" spans="7:178" x14ac:dyDescent="0.4">
      <c r="G1972" s="36"/>
      <c r="FV1972" s="24"/>
    </row>
    <row r="1973" spans="7:178" x14ac:dyDescent="0.4">
      <c r="G1973" s="36"/>
      <c r="FV1973" s="24"/>
    </row>
    <row r="1974" spans="7:178" x14ac:dyDescent="0.4">
      <c r="G1974" s="36"/>
      <c r="FV1974" s="24"/>
    </row>
    <row r="1975" spans="7:178" x14ac:dyDescent="0.4">
      <c r="G1975" s="36"/>
      <c r="FV1975" s="24"/>
    </row>
    <row r="1976" spans="7:178" x14ac:dyDescent="0.4">
      <c r="G1976" s="36"/>
      <c r="FV1976" s="24"/>
    </row>
    <row r="1977" spans="7:178" x14ac:dyDescent="0.4">
      <c r="G1977" s="36"/>
      <c r="FV1977" s="24"/>
    </row>
    <row r="1978" spans="7:178" x14ac:dyDescent="0.4">
      <c r="G1978" s="36"/>
      <c r="FV1978" s="24"/>
    </row>
    <row r="1979" spans="7:178" x14ac:dyDescent="0.4">
      <c r="G1979" s="36"/>
      <c r="FV1979" s="24"/>
    </row>
    <row r="1980" spans="7:178" x14ac:dyDescent="0.4">
      <c r="G1980" s="36"/>
      <c r="FV1980" s="24"/>
    </row>
    <row r="1981" spans="7:178" x14ac:dyDescent="0.4">
      <c r="G1981" s="36"/>
      <c r="FV1981" s="24"/>
    </row>
    <row r="1982" spans="7:178" x14ac:dyDescent="0.4">
      <c r="G1982" s="36"/>
      <c r="FV1982" s="24"/>
    </row>
    <row r="1983" spans="7:178" x14ac:dyDescent="0.4">
      <c r="G1983" s="36"/>
      <c r="FV1983" s="24"/>
    </row>
    <row r="1984" spans="7:178" x14ac:dyDescent="0.4">
      <c r="G1984" s="36"/>
      <c r="FV1984" s="24"/>
    </row>
    <row r="1985" spans="7:178" x14ac:dyDescent="0.4">
      <c r="G1985" s="36"/>
      <c r="FV1985" s="24"/>
    </row>
    <row r="1986" spans="7:178" x14ac:dyDescent="0.4">
      <c r="G1986" s="36"/>
      <c r="FV1986" s="24"/>
    </row>
    <row r="1987" spans="7:178" x14ac:dyDescent="0.4">
      <c r="G1987" s="36"/>
      <c r="FV1987" s="24"/>
    </row>
    <row r="1988" spans="7:178" x14ac:dyDescent="0.4">
      <c r="G1988" s="36"/>
      <c r="FV1988" s="24"/>
    </row>
    <row r="1989" spans="7:178" x14ac:dyDescent="0.4">
      <c r="G1989" s="36"/>
      <c r="FV1989" s="24"/>
    </row>
    <row r="1990" spans="7:178" x14ac:dyDescent="0.4">
      <c r="G1990" s="36"/>
      <c r="FV1990" s="24"/>
    </row>
    <row r="1991" spans="7:178" x14ac:dyDescent="0.4">
      <c r="G1991" s="36"/>
      <c r="FV1991" s="24"/>
    </row>
    <row r="1992" spans="7:178" x14ac:dyDescent="0.4">
      <c r="G1992" s="36"/>
      <c r="FV1992" s="24"/>
    </row>
    <row r="1993" spans="7:178" x14ac:dyDescent="0.4">
      <c r="G1993" s="36"/>
      <c r="FV1993" s="24"/>
    </row>
    <row r="1994" spans="7:178" x14ac:dyDescent="0.4">
      <c r="G1994" s="36"/>
      <c r="FV1994" s="24"/>
    </row>
    <row r="1995" spans="7:178" x14ac:dyDescent="0.4">
      <c r="G1995" s="36"/>
      <c r="FV1995" s="24"/>
    </row>
    <row r="1996" spans="7:178" x14ac:dyDescent="0.4">
      <c r="G1996" s="36"/>
      <c r="FV1996" s="24"/>
    </row>
    <row r="1997" spans="7:178" x14ac:dyDescent="0.4">
      <c r="G1997" s="36"/>
      <c r="FV1997" s="24"/>
    </row>
    <row r="1998" spans="7:178" x14ac:dyDescent="0.4">
      <c r="G1998" s="36"/>
      <c r="FV1998" s="24"/>
    </row>
    <row r="1999" spans="7:178" x14ac:dyDescent="0.4">
      <c r="G1999" s="36"/>
      <c r="FV1999" s="24"/>
    </row>
    <row r="2000" spans="7:178" x14ac:dyDescent="0.4">
      <c r="G2000" s="36"/>
      <c r="FV2000" s="24"/>
    </row>
    <row r="2001" spans="7:178" x14ac:dyDescent="0.4">
      <c r="G2001" s="36"/>
      <c r="FV2001" s="24"/>
    </row>
    <row r="2002" spans="7:178" x14ac:dyDescent="0.4">
      <c r="G2002" s="36"/>
      <c r="FV2002" s="24"/>
    </row>
    <row r="2003" spans="7:178" x14ac:dyDescent="0.4">
      <c r="G2003" s="36"/>
      <c r="FV2003" s="24"/>
    </row>
    <row r="2004" spans="7:178" x14ac:dyDescent="0.4">
      <c r="G2004" s="36"/>
      <c r="FV2004" s="24"/>
    </row>
    <row r="2005" spans="7:178" x14ac:dyDescent="0.4">
      <c r="G2005" s="36"/>
      <c r="FV2005" s="24"/>
    </row>
    <row r="2006" spans="7:178" x14ac:dyDescent="0.4">
      <c r="G2006" s="36"/>
      <c r="FV2006" s="24"/>
    </row>
    <row r="2007" spans="7:178" x14ac:dyDescent="0.4">
      <c r="G2007" s="36"/>
      <c r="FV2007" s="24"/>
    </row>
    <row r="2008" spans="7:178" x14ac:dyDescent="0.4">
      <c r="G2008" s="36"/>
      <c r="FV2008" s="24"/>
    </row>
    <row r="2009" spans="7:178" x14ac:dyDescent="0.4">
      <c r="G2009" s="36"/>
      <c r="FV2009" s="24"/>
    </row>
    <row r="2010" spans="7:178" x14ac:dyDescent="0.4">
      <c r="G2010" s="36"/>
      <c r="FV2010" s="24"/>
    </row>
    <row r="2011" spans="7:178" x14ac:dyDescent="0.4">
      <c r="G2011" s="36"/>
      <c r="FV2011" s="24"/>
    </row>
    <row r="2012" spans="7:178" x14ac:dyDescent="0.4">
      <c r="G2012" s="36"/>
      <c r="FV2012" s="24"/>
    </row>
    <row r="2013" spans="7:178" x14ac:dyDescent="0.4">
      <c r="G2013" s="36"/>
      <c r="FV2013" s="24"/>
    </row>
    <row r="2014" spans="7:178" x14ac:dyDescent="0.4">
      <c r="G2014" s="36"/>
      <c r="FV2014" s="24"/>
    </row>
    <row r="2015" spans="7:178" x14ac:dyDescent="0.4">
      <c r="G2015" s="36"/>
      <c r="FV2015" s="24"/>
    </row>
    <row r="2016" spans="7:178" x14ac:dyDescent="0.4">
      <c r="G2016" s="36"/>
      <c r="FV2016" s="24"/>
    </row>
    <row r="2017" spans="7:178" x14ac:dyDescent="0.4">
      <c r="G2017" s="36"/>
      <c r="FV2017" s="24"/>
    </row>
    <row r="2018" spans="7:178" x14ac:dyDescent="0.4">
      <c r="G2018" s="36"/>
      <c r="FV2018" s="24"/>
    </row>
    <row r="2019" spans="7:178" x14ac:dyDescent="0.4">
      <c r="G2019" s="36"/>
      <c r="FV2019" s="24"/>
    </row>
    <row r="2020" spans="7:178" x14ac:dyDescent="0.4">
      <c r="G2020" s="36"/>
      <c r="FV2020" s="24"/>
    </row>
    <row r="2021" spans="7:178" x14ac:dyDescent="0.4">
      <c r="G2021" s="36"/>
      <c r="FV2021" s="24"/>
    </row>
    <row r="2022" spans="7:178" x14ac:dyDescent="0.4">
      <c r="G2022" s="36"/>
      <c r="FV2022" s="24"/>
    </row>
    <row r="2023" spans="7:178" x14ac:dyDescent="0.4">
      <c r="G2023" s="36"/>
      <c r="FV2023" s="24"/>
    </row>
    <row r="2024" spans="7:178" x14ac:dyDescent="0.4">
      <c r="G2024" s="36"/>
      <c r="FV2024" s="24"/>
    </row>
    <row r="2025" spans="7:178" x14ac:dyDescent="0.4">
      <c r="G2025" s="36"/>
      <c r="FV2025" s="24"/>
    </row>
    <row r="2026" spans="7:178" x14ac:dyDescent="0.4">
      <c r="G2026" s="36"/>
      <c r="FV2026" s="24"/>
    </row>
    <row r="2027" spans="7:178" x14ac:dyDescent="0.4">
      <c r="G2027" s="36"/>
      <c r="FV2027" s="24"/>
    </row>
    <row r="2028" spans="7:178" x14ac:dyDescent="0.4">
      <c r="G2028" s="36"/>
      <c r="FV2028" s="24"/>
    </row>
    <row r="2029" spans="7:178" x14ac:dyDescent="0.4">
      <c r="G2029" s="36"/>
      <c r="FV2029" s="24"/>
    </row>
    <row r="2030" spans="7:178" x14ac:dyDescent="0.4">
      <c r="G2030" s="36"/>
      <c r="FV2030" s="24"/>
    </row>
    <row r="2031" spans="7:178" x14ac:dyDescent="0.4">
      <c r="G2031" s="36"/>
      <c r="FV2031" s="24"/>
    </row>
    <row r="2032" spans="7:178" x14ac:dyDescent="0.4">
      <c r="G2032" s="36"/>
      <c r="FV2032" s="24"/>
    </row>
    <row r="2033" spans="7:178" x14ac:dyDescent="0.4">
      <c r="G2033" s="36"/>
      <c r="FV2033" s="24"/>
    </row>
    <row r="2034" spans="7:178" x14ac:dyDescent="0.4">
      <c r="G2034" s="36"/>
      <c r="FV2034" s="24"/>
    </row>
    <row r="2035" spans="7:178" x14ac:dyDescent="0.4">
      <c r="G2035" s="36"/>
      <c r="FV2035" s="24"/>
    </row>
    <row r="2036" spans="7:178" x14ac:dyDescent="0.4">
      <c r="G2036" s="36"/>
      <c r="FV2036" s="24"/>
    </row>
    <row r="2037" spans="7:178" x14ac:dyDescent="0.4">
      <c r="G2037" s="36"/>
      <c r="FV2037" s="24"/>
    </row>
    <row r="2038" spans="7:178" x14ac:dyDescent="0.4">
      <c r="G2038" s="36"/>
      <c r="FV2038" s="24"/>
    </row>
    <row r="2039" spans="7:178" x14ac:dyDescent="0.4">
      <c r="G2039" s="36"/>
      <c r="FV2039" s="24"/>
    </row>
    <row r="2040" spans="7:178" x14ac:dyDescent="0.4">
      <c r="G2040" s="36"/>
      <c r="FV2040" s="24"/>
    </row>
    <row r="2041" spans="7:178" x14ac:dyDescent="0.4">
      <c r="G2041" s="36"/>
      <c r="FV2041" s="24"/>
    </row>
    <row r="2042" spans="7:178" x14ac:dyDescent="0.4">
      <c r="G2042" s="36"/>
      <c r="FV2042" s="24"/>
    </row>
    <row r="2043" spans="7:178" x14ac:dyDescent="0.4">
      <c r="G2043" s="36"/>
      <c r="FV2043" s="24"/>
    </row>
    <row r="2044" spans="7:178" x14ac:dyDescent="0.4">
      <c r="G2044" s="36"/>
      <c r="FV2044" s="24"/>
    </row>
    <row r="2045" spans="7:178" x14ac:dyDescent="0.4">
      <c r="G2045" s="36"/>
      <c r="FV2045" s="24"/>
    </row>
    <row r="2046" spans="7:178" x14ac:dyDescent="0.4">
      <c r="G2046" s="36"/>
      <c r="FV2046" s="24"/>
    </row>
    <row r="2047" spans="7:178" x14ac:dyDescent="0.4">
      <c r="G2047" s="36"/>
      <c r="FV2047" s="24"/>
    </row>
    <row r="2048" spans="7:178" x14ac:dyDescent="0.4">
      <c r="G2048" s="36"/>
      <c r="FV2048" s="24"/>
    </row>
    <row r="2049" spans="7:178" x14ac:dyDescent="0.4">
      <c r="G2049" s="36"/>
      <c r="FV2049" s="24"/>
    </row>
    <row r="2050" spans="7:178" x14ac:dyDescent="0.4">
      <c r="G2050" s="36"/>
      <c r="FV2050" s="24"/>
    </row>
    <row r="2051" spans="7:178" x14ac:dyDescent="0.4">
      <c r="G2051" s="36"/>
      <c r="FV2051" s="24"/>
    </row>
    <row r="2052" spans="7:178" x14ac:dyDescent="0.4">
      <c r="G2052" s="36"/>
      <c r="FV2052" s="24"/>
    </row>
    <row r="2053" spans="7:178" x14ac:dyDescent="0.4">
      <c r="G2053" s="36"/>
      <c r="FV2053" s="24"/>
    </row>
    <row r="2054" spans="7:178" x14ac:dyDescent="0.4">
      <c r="G2054" s="36"/>
      <c r="FV2054" s="24"/>
    </row>
    <row r="2055" spans="7:178" x14ac:dyDescent="0.4">
      <c r="G2055" s="36"/>
      <c r="FV2055" s="24"/>
    </row>
    <row r="2056" spans="7:178" x14ac:dyDescent="0.4">
      <c r="G2056" s="36"/>
      <c r="FV2056" s="24"/>
    </row>
    <row r="2057" spans="7:178" x14ac:dyDescent="0.4">
      <c r="G2057" s="36"/>
      <c r="FV2057" s="24"/>
    </row>
    <row r="2058" spans="7:178" x14ac:dyDescent="0.4">
      <c r="G2058" s="36"/>
      <c r="FV2058" s="24"/>
    </row>
    <row r="2059" spans="7:178" x14ac:dyDescent="0.4">
      <c r="G2059" s="36"/>
      <c r="FV2059" s="24"/>
    </row>
    <row r="2060" spans="7:178" x14ac:dyDescent="0.4">
      <c r="G2060" s="36"/>
      <c r="FV2060" s="24"/>
    </row>
    <row r="2061" spans="7:178" x14ac:dyDescent="0.4">
      <c r="G2061" s="36"/>
      <c r="FV2061" s="24"/>
    </row>
    <row r="2062" spans="7:178" x14ac:dyDescent="0.4">
      <c r="G2062" s="36"/>
      <c r="FV2062" s="24"/>
    </row>
    <row r="2063" spans="7:178" x14ac:dyDescent="0.4">
      <c r="G2063" s="36"/>
      <c r="FV2063" s="24"/>
    </row>
    <row r="2064" spans="7:178" x14ac:dyDescent="0.4">
      <c r="G2064" s="36"/>
      <c r="FV2064" s="24"/>
    </row>
    <row r="2065" spans="7:178" x14ac:dyDescent="0.4">
      <c r="G2065" s="36"/>
      <c r="FV2065" s="24"/>
    </row>
    <row r="2066" spans="7:178" x14ac:dyDescent="0.4">
      <c r="G2066" s="36"/>
      <c r="FV2066" s="24"/>
    </row>
    <row r="2067" spans="7:178" x14ac:dyDescent="0.4">
      <c r="G2067" s="36"/>
      <c r="FV2067" s="24"/>
    </row>
    <row r="2068" spans="7:178" x14ac:dyDescent="0.4">
      <c r="G2068" s="36"/>
      <c r="FV2068" s="24"/>
    </row>
    <row r="2069" spans="7:178" x14ac:dyDescent="0.4">
      <c r="G2069" s="36"/>
      <c r="FV2069" s="24"/>
    </row>
    <row r="2070" spans="7:178" x14ac:dyDescent="0.4">
      <c r="G2070" s="36"/>
      <c r="FV2070" s="24"/>
    </row>
    <row r="2071" spans="7:178" x14ac:dyDescent="0.4">
      <c r="G2071" s="36"/>
      <c r="FV2071" s="24"/>
    </row>
    <row r="2072" spans="7:178" x14ac:dyDescent="0.4">
      <c r="G2072" s="36"/>
      <c r="FV2072" s="24"/>
    </row>
    <row r="2073" spans="7:178" x14ac:dyDescent="0.4">
      <c r="G2073" s="36"/>
      <c r="FV2073" s="24"/>
    </row>
    <row r="2074" spans="7:178" x14ac:dyDescent="0.4">
      <c r="G2074" s="36"/>
      <c r="FV2074" s="24"/>
    </row>
    <row r="2075" spans="7:178" x14ac:dyDescent="0.4">
      <c r="G2075" s="36"/>
      <c r="FV2075" s="24"/>
    </row>
    <row r="2076" spans="7:178" x14ac:dyDescent="0.4">
      <c r="G2076" s="36"/>
      <c r="FV2076" s="24"/>
    </row>
    <row r="2077" spans="7:178" x14ac:dyDescent="0.4">
      <c r="G2077" s="36"/>
      <c r="FV2077" s="24"/>
    </row>
    <row r="2078" spans="7:178" x14ac:dyDescent="0.4">
      <c r="G2078" s="36"/>
      <c r="FV2078" s="24"/>
    </row>
    <row r="2079" spans="7:178" x14ac:dyDescent="0.4">
      <c r="G2079" s="36"/>
      <c r="FV2079" s="24"/>
    </row>
    <row r="2080" spans="7:178" x14ac:dyDescent="0.4">
      <c r="G2080" s="36"/>
      <c r="FV2080" s="24"/>
    </row>
    <row r="2081" spans="7:178" x14ac:dyDescent="0.4">
      <c r="G2081" s="36"/>
      <c r="FV2081" s="24"/>
    </row>
    <row r="2082" spans="7:178" x14ac:dyDescent="0.4">
      <c r="G2082" s="36"/>
      <c r="FV2082" s="24"/>
    </row>
    <row r="2083" spans="7:178" x14ac:dyDescent="0.4">
      <c r="G2083" s="36"/>
      <c r="FV2083" s="24"/>
    </row>
    <row r="2084" spans="7:178" x14ac:dyDescent="0.4">
      <c r="G2084" s="36"/>
      <c r="FV2084" s="24"/>
    </row>
    <row r="2085" spans="7:178" x14ac:dyDescent="0.4">
      <c r="G2085" s="36"/>
      <c r="FV2085" s="24"/>
    </row>
    <row r="2086" spans="7:178" x14ac:dyDescent="0.4">
      <c r="G2086" s="36"/>
      <c r="FV2086" s="24"/>
    </row>
    <row r="2087" spans="7:178" x14ac:dyDescent="0.4">
      <c r="G2087" s="36"/>
      <c r="FV2087" s="24"/>
    </row>
    <row r="2088" spans="7:178" x14ac:dyDescent="0.4">
      <c r="G2088" s="36"/>
      <c r="FV2088" s="24"/>
    </row>
    <row r="2089" spans="7:178" x14ac:dyDescent="0.4">
      <c r="G2089" s="36"/>
      <c r="FV2089" s="24"/>
    </row>
    <row r="2090" spans="7:178" x14ac:dyDescent="0.4">
      <c r="G2090" s="36"/>
      <c r="FV2090" s="24"/>
    </row>
    <row r="2091" spans="7:178" x14ac:dyDescent="0.4">
      <c r="G2091" s="36"/>
      <c r="FV2091" s="24"/>
    </row>
    <row r="2092" spans="7:178" x14ac:dyDescent="0.4">
      <c r="G2092" s="36"/>
      <c r="FV2092" s="24"/>
    </row>
    <row r="2093" spans="7:178" x14ac:dyDescent="0.4">
      <c r="G2093" s="36"/>
      <c r="FV2093" s="24"/>
    </row>
    <row r="2094" spans="7:178" x14ac:dyDescent="0.4">
      <c r="G2094" s="36"/>
      <c r="FV2094" s="24"/>
    </row>
    <row r="2095" spans="7:178" x14ac:dyDescent="0.4">
      <c r="G2095" s="36"/>
      <c r="FV2095" s="24"/>
    </row>
    <row r="2096" spans="7:178" x14ac:dyDescent="0.4">
      <c r="G2096" s="36"/>
      <c r="FV2096" s="24"/>
    </row>
    <row r="2097" spans="7:178" x14ac:dyDescent="0.4">
      <c r="G2097" s="36"/>
      <c r="FV2097" s="24"/>
    </row>
    <row r="2098" spans="7:178" x14ac:dyDescent="0.4">
      <c r="G2098" s="36"/>
      <c r="FV2098" s="24"/>
    </row>
    <row r="2099" spans="7:178" x14ac:dyDescent="0.4">
      <c r="G2099" s="36"/>
      <c r="FV2099" s="24"/>
    </row>
    <row r="2100" spans="7:178" x14ac:dyDescent="0.4">
      <c r="G2100" s="36"/>
      <c r="FV2100" s="24"/>
    </row>
    <row r="2101" spans="7:178" x14ac:dyDescent="0.4">
      <c r="G2101" s="36"/>
      <c r="FV2101" s="24"/>
    </row>
    <row r="2102" spans="7:178" x14ac:dyDescent="0.4">
      <c r="G2102" s="36"/>
      <c r="FV2102" s="24"/>
    </row>
    <row r="2103" spans="7:178" x14ac:dyDescent="0.4">
      <c r="G2103" s="36"/>
      <c r="FV2103" s="24"/>
    </row>
    <row r="2104" spans="7:178" x14ac:dyDescent="0.4">
      <c r="G2104" s="36"/>
      <c r="FV2104" s="24"/>
    </row>
    <row r="2105" spans="7:178" x14ac:dyDescent="0.4">
      <c r="G2105" s="36"/>
      <c r="FV2105" s="24"/>
    </row>
    <row r="2106" spans="7:178" x14ac:dyDescent="0.4">
      <c r="G2106" s="36"/>
      <c r="FV2106" s="24"/>
    </row>
    <row r="2107" spans="7:178" x14ac:dyDescent="0.4">
      <c r="G2107" s="36"/>
      <c r="FV2107" s="24"/>
    </row>
    <row r="2108" spans="7:178" x14ac:dyDescent="0.4">
      <c r="G2108" s="36"/>
      <c r="FV2108" s="24"/>
    </row>
    <row r="2109" spans="7:178" x14ac:dyDescent="0.4">
      <c r="G2109" s="36"/>
      <c r="FV2109" s="24"/>
    </row>
    <row r="2110" spans="7:178" x14ac:dyDescent="0.4">
      <c r="G2110" s="36"/>
      <c r="FV2110" s="24"/>
    </row>
    <row r="2111" spans="7:178" x14ac:dyDescent="0.4">
      <c r="G2111" s="36"/>
      <c r="FV2111" s="24"/>
    </row>
    <row r="2112" spans="7:178" x14ac:dyDescent="0.4">
      <c r="G2112" s="36"/>
      <c r="FV2112" s="24"/>
    </row>
    <row r="2113" spans="7:178" x14ac:dyDescent="0.4">
      <c r="G2113" s="36"/>
      <c r="FV2113" s="24"/>
    </row>
    <row r="2114" spans="7:178" x14ac:dyDescent="0.4">
      <c r="G2114" s="36"/>
      <c r="FV2114" s="24"/>
    </row>
    <row r="2115" spans="7:178" x14ac:dyDescent="0.4">
      <c r="G2115" s="36"/>
      <c r="FV2115" s="24"/>
    </row>
    <row r="2116" spans="7:178" x14ac:dyDescent="0.4">
      <c r="G2116" s="36"/>
      <c r="FV2116" s="24"/>
    </row>
    <row r="2117" spans="7:178" x14ac:dyDescent="0.4">
      <c r="G2117" s="36"/>
      <c r="FV2117" s="24"/>
    </row>
    <row r="2118" spans="7:178" x14ac:dyDescent="0.4">
      <c r="G2118" s="36"/>
      <c r="FV2118" s="24"/>
    </row>
    <row r="2119" spans="7:178" x14ac:dyDescent="0.4">
      <c r="G2119" s="36"/>
      <c r="FV2119" s="24"/>
    </row>
    <row r="2120" spans="7:178" x14ac:dyDescent="0.4">
      <c r="G2120" s="36"/>
      <c r="FV2120" s="24"/>
    </row>
    <row r="2121" spans="7:178" x14ac:dyDescent="0.4">
      <c r="G2121" s="36"/>
      <c r="FV2121" s="24"/>
    </row>
    <row r="2122" spans="7:178" x14ac:dyDescent="0.4">
      <c r="G2122" s="36"/>
      <c r="FV2122" s="24"/>
    </row>
    <row r="2123" spans="7:178" x14ac:dyDescent="0.4">
      <c r="G2123" s="36"/>
      <c r="FV2123" s="24"/>
    </row>
    <row r="2124" spans="7:178" x14ac:dyDescent="0.4">
      <c r="G2124" s="36"/>
      <c r="FV2124" s="24"/>
    </row>
    <row r="2125" spans="7:178" x14ac:dyDescent="0.4">
      <c r="G2125" s="36"/>
      <c r="FV2125" s="24"/>
    </row>
    <row r="2126" spans="7:178" x14ac:dyDescent="0.4">
      <c r="G2126" s="36"/>
      <c r="FV2126" s="24"/>
    </row>
    <row r="2127" spans="7:178" x14ac:dyDescent="0.4">
      <c r="G2127" s="36"/>
      <c r="FV2127" s="24"/>
    </row>
    <row r="2128" spans="7:178" x14ac:dyDescent="0.4">
      <c r="G2128" s="36"/>
      <c r="FV2128" s="24"/>
    </row>
    <row r="2129" spans="7:178" x14ac:dyDescent="0.4">
      <c r="G2129" s="36"/>
      <c r="FV2129" s="24"/>
    </row>
    <row r="2130" spans="7:178" x14ac:dyDescent="0.4">
      <c r="G2130" s="36"/>
      <c r="FV2130" s="24"/>
    </row>
    <row r="2131" spans="7:178" x14ac:dyDescent="0.4">
      <c r="G2131" s="36"/>
      <c r="FV2131" s="24"/>
    </row>
    <row r="2132" spans="7:178" x14ac:dyDescent="0.4">
      <c r="G2132" s="36"/>
      <c r="FV2132" s="24"/>
    </row>
    <row r="2133" spans="7:178" x14ac:dyDescent="0.4">
      <c r="G2133" s="36"/>
      <c r="FV2133" s="24"/>
    </row>
    <row r="2134" spans="7:178" x14ac:dyDescent="0.4">
      <c r="G2134" s="36"/>
      <c r="FV2134" s="24"/>
    </row>
    <row r="2135" spans="7:178" x14ac:dyDescent="0.4">
      <c r="G2135" s="36"/>
      <c r="FV2135" s="24"/>
    </row>
    <row r="2136" spans="7:178" x14ac:dyDescent="0.4">
      <c r="G2136" s="36"/>
      <c r="FV2136" s="24"/>
    </row>
    <row r="2137" spans="7:178" x14ac:dyDescent="0.4">
      <c r="G2137" s="36"/>
      <c r="FV2137" s="24"/>
    </row>
    <row r="2138" spans="7:178" x14ac:dyDescent="0.4">
      <c r="G2138" s="36"/>
      <c r="FV2138" s="24"/>
    </row>
    <row r="2139" spans="7:178" x14ac:dyDescent="0.4">
      <c r="G2139" s="36"/>
      <c r="FV2139" s="24"/>
    </row>
    <row r="2140" spans="7:178" x14ac:dyDescent="0.4">
      <c r="G2140" s="36"/>
      <c r="FV2140" s="24"/>
    </row>
    <row r="2141" spans="7:178" x14ac:dyDescent="0.4">
      <c r="G2141" s="36"/>
      <c r="FV2141" s="24"/>
    </row>
    <row r="2142" spans="7:178" x14ac:dyDescent="0.4">
      <c r="G2142" s="36"/>
      <c r="FV2142" s="24"/>
    </row>
    <row r="2143" spans="7:178" x14ac:dyDescent="0.4">
      <c r="G2143" s="36"/>
      <c r="FV2143" s="24"/>
    </row>
    <row r="2144" spans="7:178" x14ac:dyDescent="0.4">
      <c r="G2144" s="36"/>
      <c r="FV2144" s="24"/>
    </row>
    <row r="2145" spans="7:178" x14ac:dyDescent="0.4">
      <c r="G2145" s="36"/>
      <c r="FV2145" s="24"/>
    </row>
    <row r="2146" spans="7:178" x14ac:dyDescent="0.4">
      <c r="G2146" s="36"/>
      <c r="FV2146" s="24"/>
    </row>
    <row r="2147" spans="7:178" x14ac:dyDescent="0.4">
      <c r="G2147" s="36"/>
      <c r="FV2147" s="24"/>
    </row>
    <row r="2148" spans="7:178" x14ac:dyDescent="0.4">
      <c r="G2148" s="36"/>
      <c r="FV2148" s="24"/>
    </row>
    <row r="2149" spans="7:178" x14ac:dyDescent="0.4">
      <c r="G2149" s="36"/>
      <c r="FV2149" s="24"/>
    </row>
    <row r="2150" spans="7:178" x14ac:dyDescent="0.4">
      <c r="G2150" s="36"/>
      <c r="FV2150" s="24"/>
    </row>
    <row r="2151" spans="7:178" x14ac:dyDescent="0.4">
      <c r="G2151" s="36"/>
      <c r="FV2151" s="24"/>
    </row>
    <row r="2152" spans="7:178" x14ac:dyDescent="0.4">
      <c r="G2152" s="36"/>
      <c r="FV2152" s="24"/>
    </row>
    <row r="2153" spans="7:178" x14ac:dyDescent="0.4">
      <c r="G2153" s="36"/>
      <c r="FV2153" s="24"/>
    </row>
    <row r="2154" spans="7:178" x14ac:dyDescent="0.4">
      <c r="G2154" s="36"/>
      <c r="FV2154" s="24"/>
    </row>
    <row r="2155" spans="7:178" x14ac:dyDescent="0.4">
      <c r="G2155" s="36"/>
      <c r="FV2155" s="24"/>
    </row>
    <row r="2156" spans="7:178" x14ac:dyDescent="0.4">
      <c r="G2156" s="36"/>
      <c r="FV2156" s="24"/>
    </row>
    <row r="2157" spans="7:178" x14ac:dyDescent="0.4">
      <c r="G2157" s="36"/>
      <c r="FV2157" s="24"/>
    </row>
    <row r="2158" spans="7:178" x14ac:dyDescent="0.4">
      <c r="G2158" s="36"/>
      <c r="FV2158" s="24"/>
    </row>
    <row r="2159" spans="7:178" x14ac:dyDescent="0.4">
      <c r="G2159" s="36"/>
      <c r="FV2159" s="24"/>
    </row>
    <row r="2160" spans="7:178" x14ac:dyDescent="0.4">
      <c r="G2160" s="36"/>
      <c r="FV2160" s="24"/>
    </row>
    <row r="2161" spans="7:178" x14ac:dyDescent="0.4">
      <c r="G2161" s="36"/>
      <c r="FV2161" s="24"/>
    </row>
    <row r="2162" spans="7:178" x14ac:dyDescent="0.4">
      <c r="G2162" s="36"/>
      <c r="FV2162" s="24"/>
    </row>
    <row r="2163" spans="7:178" x14ac:dyDescent="0.4">
      <c r="G2163" s="36"/>
      <c r="FV2163" s="24"/>
    </row>
    <row r="2164" spans="7:178" x14ac:dyDescent="0.4">
      <c r="G2164" s="36"/>
      <c r="FV2164" s="24"/>
    </row>
    <row r="2165" spans="7:178" x14ac:dyDescent="0.4">
      <c r="G2165" s="36"/>
      <c r="FV2165" s="24"/>
    </row>
    <row r="2166" spans="7:178" x14ac:dyDescent="0.4">
      <c r="G2166" s="36"/>
      <c r="FV2166" s="24"/>
    </row>
    <row r="2167" spans="7:178" x14ac:dyDescent="0.4">
      <c r="G2167" s="36"/>
      <c r="FV2167" s="24"/>
    </row>
    <row r="2168" spans="7:178" x14ac:dyDescent="0.4">
      <c r="G2168" s="36"/>
      <c r="FV2168" s="24"/>
    </row>
    <row r="2169" spans="7:178" x14ac:dyDescent="0.4">
      <c r="G2169" s="36"/>
      <c r="FV2169" s="24"/>
    </row>
    <row r="2170" spans="7:178" x14ac:dyDescent="0.4">
      <c r="G2170" s="36"/>
      <c r="FV2170" s="24"/>
    </row>
    <row r="2171" spans="7:178" x14ac:dyDescent="0.4">
      <c r="G2171" s="36"/>
      <c r="FV2171" s="24"/>
    </row>
    <row r="2172" spans="7:178" x14ac:dyDescent="0.4">
      <c r="G2172" s="36"/>
      <c r="FV2172" s="24"/>
    </row>
    <row r="2173" spans="7:178" x14ac:dyDescent="0.4">
      <c r="G2173" s="36"/>
      <c r="FV2173" s="24"/>
    </row>
    <row r="2174" spans="7:178" x14ac:dyDescent="0.4">
      <c r="G2174" s="36"/>
      <c r="FV2174" s="24"/>
    </row>
    <row r="2175" spans="7:178" x14ac:dyDescent="0.4">
      <c r="G2175" s="36"/>
      <c r="FV2175" s="24"/>
    </row>
    <row r="2176" spans="7:178" x14ac:dyDescent="0.4">
      <c r="G2176" s="36"/>
      <c r="FV2176" s="24"/>
    </row>
    <row r="2177" spans="7:178" x14ac:dyDescent="0.4">
      <c r="G2177" s="36"/>
      <c r="FV2177" s="24"/>
    </row>
    <row r="2178" spans="7:178" x14ac:dyDescent="0.4">
      <c r="G2178" s="36"/>
      <c r="FV2178" s="24"/>
    </row>
    <row r="2179" spans="7:178" x14ac:dyDescent="0.4">
      <c r="G2179" s="36"/>
      <c r="FV2179" s="24"/>
    </row>
    <row r="2180" spans="7:178" x14ac:dyDescent="0.4">
      <c r="G2180" s="36"/>
      <c r="FV2180" s="24"/>
    </row>
    <row r="2181" spans="7:178" x14ac:dyDescent="0.4">
      <c r="G2181" s="36"/>
      <c r="FV2181" s="24"/>
    </row>
    <row r="2182" spans="7:178" x14ac:dyDescent="0.4">
      <c r="G2182" s="36"/>
      <c r="FV2182" s="24"/>
    </row>
    <row r="2183" spans="7:178" x14ac:dyDescent="0.4">
      <c r="G2183" s="36"/>
      <c r="FV2183" s="24"/>
    </row>
    <row r="2184" spans="7:178" x14ac:dyDescent="0.4">
      <c r="G2184" s="36"/>
      <c r="FV2184" s="24"/>
    </row>
    <row r="2185" spans="7:178" x14ac:dyDescent="0.4">
      <c r="G2185" s="36"/>
      <c r="FV2185" s="24"/>
    </row>
    <row r="2186" spans="7:178" x14ac:dyDescent="0.4">
      <c r="G2186" s="36"/>
      <c r="FV2186" s="24"/>
    </row>
    <row r="2187" spans="7:178" x14ac:dyDescent="0.4">
      <c r="G2187" s="36"/>
      <c r="FV2187" s="24"/>
    </row>
    <row r="2188" spans="7:178" x14ac:dyDescent="0.4">
      <c r="G2188" s="36"/>
      <c r="FV2188" s="24"/>
    </row>
    <row r="2189" spans="7:178" x14ac:dyDescent="0.4">
      <c r="G2189" s="36"/>
      <c r="FV2189" s="24"/>
    </row>
    <row r="2190" spans="7:178" x14ac:dyDescent="0.4">
      <c r="G2190" s="36"/>
      <c r="FV2190" s="24"/>
    </row>
    <row r="2191" spans="7:178" x14ac:dyDescent="0.4">
      <c r="G2191" s="36"/>
      <c r="FV2191" s="24"/>
    </row>
    <row r="2192" spans="7:178" x14ac:dyDescent="0.4">
      <c r="G2192" s="36"/>
      <c r="FV2192" s="24"/>
    </row>
    <row r="2193" spans="7:178" x14ac:dyDescent="0.4">
      <c r="G2193" s="36"/>
      <c r="FV2193" s="24"/>
    </row>
    <row r="2194" spans="7:178" x14ac:dyDescent="0.4">
      <c r="G2194" s="36"/>
      <c r="FV2194" s="24"/>
    </row>
    <row r="2195" spans="7:178" x14ac:dyDescent="0.4">
      <c r="G2195" s="36"/>
      <c r="FV2195" s="24"/>
    </row>
    <row r="2196" spans="7:178" x14ac:dyDescent="0.4">
      <c r="G2196" s="36"/>
      <c r="FV2196" s="24"/>
    </row>
    <row r="2197" spans="7:178" x14ac:dyDescent="0.4">
      <c r="G2197" s="36"/>
      <c r="FV2197" s="24"/>
    </row>
    <row r="2198" spans="7:178" x14ac:dyDescent="0.4">
      <c r="G2198" s="36"/>
      <c r="FV2198" s="24"/>
    </row>
    <row r="2199" spans="7:178" x14ac:dyDescent="0.4">
      <c r="G2199" s="36"/>
      <c r="FV2199" s="24"/>
    </row>
    <row r="2200" spans="7:178" x14ac:dyDescent="0.4">
      <c r="G2200" s="36"/>
      <c r="FV2200" s="24"/>
    </row>
    <row r="2201" spans="7:178" x14ac:dyDescent="0.4">
      <c r="G2201" s="36"/>
      <c r="FV2201" s="24"/>
    </row>
    <row r="2202" spans="7:178" x14ac:dyDescent="0.4">
      <c r="G2202" s="36"/>
      <c r="FV2202" s="24"/>
    </row>
    <row r="2203" spans="7:178" x14ac:dyDescent="0.4">
      <c r="G2203" s="36"/>
      <c r="FV2203" s="24"/>
    </row>
    <row r="2204" spans="7:178" x14ac:dyDescent="0.4">
      <c r="G2204" s="36"/>
      <c r="FV2204" s="24"/>
    </row>
    <row r="2205" spans="7:178" x14ac:dyDescent="0.4">
      <c r="G2205" s="36"/>
      <c r="FV2205" s="24"/>
    </row>
    <row r="2206" spans="7:178" x14ac:dyDescent="0.4">
      <c r="G2206" s="36"/>
      <c r="FV2206" s="24"/>
    </row>
    <row r="2207" spans="7:178" x14ac:dyDescent="0.4">
      <c r="G2207" s="36"/>
      <c r="FV2207" s="24"/>
    </row>
    <row r="2208" spans="7:178" x14ac:dyDescent="0.4">
      <c r="G2208" s="36"/>
      <c r="FV2208" s="24"/>
    </row>
    <row r="2209" spans="7:178" x14ac:dyDescent="0.4">
      <c r="G2209" s="36"/>
      <c r="FV2209" s="24"/>
    </row>
    <row r="2210" spans="7:178" x14ac:dyDescent="0.4">
      <c r="G2210" s="36"/>
      <c r="FV2210" s="24"/>
    </row>
    <row r="2211" spans="7:178" x14ac:dyDescent="0.4">
      <c r="G2211" s="36"/>
      <c r="FV2211" s="24"/>
    </row>
    <row r="2212" spans="7:178" x14ac:dyDescent="0.4">
      <c r="G2212" s="36"/>
      <c r="FV2212" s="24"/>
    </row>
    <row r="2213" spans="7:178" x14ac:dyDescent="0.4">
      <c r="G2213" s="36"/>
      <c r="FV2213" s="24"/>
    </row>
    <row r="2214" spans="7:178" x14ac:dyDescent="0.4">
      <c r="G2214" s="36"/>
      <c r="FV2214" s="24"/>
    </row>
    <row r="2215" spans="7:178" x14ac:dyDescent="0.4">
      <c r="G2215" s="36"/>
      <c r="FV2215" s="24"/>
    </row>
    <row r="2216" spans="7:178" x14ac:dyDescent="0.4">
      <c r="G2216" s="36"/>
      <c r="FV2216" s="24"/>
    </row>
    <row r="2217" spans="7:178" x14ac:dyDescent="0.4">
      <c r="G2217" s="36"/>
      <c r="FV2217" s="24"/>
    </row>
    <row r="2218" spans="7:178" x14ac:dyDescent="0.4">
      <c r="G2218" s="36"/>
      <c r="FV2218" s="24"/>
    </row>
    <row r="2219" spans="7:178" x14ac:dyDescent="0.4">
      <c r="G2219" s="36"/>
      <c r="FV2219" s="24"/>
    </row>
    <row r="2220" spans="7:178" x14ac:dyDescent="0.4">
      <c r="G2220" s="36"/>
      <c r="FV2220" s="24"/>
    </row>
    <row r="2221" spans="7:178" x14ac:dyDescent="0.4">
      <c r="G2221" s="36"/>
      <c r="FV2221" s="24"/>
    </row>
    <row r="2222" spans="7:178" x14ac:dyDescent="0.4">
      <c r="G2222" s="36"/>
      <c r="FV2222" s="24"/>
    </row>
    <row r="2223" spans="7:178" x14ac:dyDescent="0.4">
      <c r="G2223" s="36"/>
      <c r="FV2223" s="24"/>
    </row>
    <row r="2224" spans="7:178" x14ac:dyDescent="0.4">
      <c r="G2224" s="36"/>
      <c r="FV2224" s="24"/>
    </row>
    <row r="2225" spans="7:178" x14ac:dyDescent="0.4">
      <c r="G2225" s="36"/>
      <c r="FV2225" s="24"/>
    </row>
    <row r="2226" spans="7:178" x14ac:dyDescent="0.4">
      <c r="G2226" s="36"/>
      <c r="FV2226" s="24"/>
    </row>
    <row r="2227" spans="7:178" x14ac:dyDescent="0.4">
      <c r="G2227" s="36"/>
      <c r="FV2227" s="24"/>
    </row>
    <row r="2228" spans="7:178" x14ac:dyDescent="0.4">
      <c r="G2228" s="36"/>
      <c r="FV2228" s="24"/>
    </row>
    <row r="2229" spans="7:178" x14ac:dyDescent="0.4">
      <c r="G2229" s="36"/>
      <c r="FV2229" s="24"/>
    </row>
    <row r="2230" spans="7:178" x14ac:dyDescent="0.4">
      <c r="G2230" s="36"/>
      <c r="FV2230" s="24"/>
    </row>
    <row r="2231" spans="7:178" x14ac:dyDescent="0.4">
      <c r="G2231" s="36"/>
      <c r="FV2231" s="24"/>
    </row>
    <row r="2232" spans="7:178" x14ac:dyDescent="0.4">
      <c r="G2232" s="36"/>
      <c r="FV2232" s="24"/>
    </row>
    <row r="2233" spans="7:178" x14ac:dyDescent="0.4">
      <c r="G2233" s="36"/>
      <c r="FV2233" s="24"/>
    </row>
    <row r="2234" spans="7:178" x14ac:dyDescent="0.4">
      <c r="G2234" s="36"/>
      <c r="FV2234" s="24"/>
    </row>
    <row r="2235" spans="7:178" x14ac:dyDescent="0.4">
      <c r="G2235" s="36"/>
      <c r="FV2235" s="24"/>
    </row>
    <row r="2236" spans="7:178" x14ac:dyDescent="0.4">
      <c r="G2236" s="36"/>
      <c r="FV2236" s="24"/>
    </row>
    <row r="2237" spans="7:178" x14ac:dyDescent="0.4">
      <c r="G2237" s="36"/>
      <c r="FV2237" s="24"/>
    </row>
    <row r="2238" spans="7:178" x14ac:dyDescent="0.4">
      <c r="G2238" s="36"/>
      <c r="FV2238" s="24"/>
    </row>
    <row r="2239" spans="7:178" x14ac:dyDescent="0.4">
      <c r="G2239" s="36"/>
      <c r="FV2239" s="24"/>
    </row>
    <row r="2240" spans="7:178" x14ac:dyDescent="0.4">
      <c r="G2240" s="36"/>
      <c r="FV2240" s="24"/>
    </row>
    <row r="2241" spans="7:178" x14ac:dyDescent="0.4">
      <c r="G2241" s="36"/>
      <c r="FV2241" s="24"/>
    </row>
    <row r="2242" spans="7:178" x14ac:dyDescent="0.4">
      <c r="G2242" s="36"/>
      <c r="FV2242" s="24"/>
    </row>
    <row r="2243" spans="7:178" x14ac:dyDescent="0.4">
      <c r="G2243" s="36"/>
      <c r="FV2243" s="24"/>
    </row>
    <row r="2244" spans="7:178" x14ac:dyDescent="0.4">
      <c r="G2244" s="36"/>
      <c r="FV2244" s="24"/>
    </row>
    <row r="2245" spans="7:178" x14ac:dyDescent="0.4">
      <c r="G2245" s="36"/>
      <c r="FV2245" s="24"/>
    </row>
    <row r="2246" spans="7:178" x14ac:dyDescent="0.4">
      <c r="G2246" s="36"/>
      <c r="FV2246" s="24"/>
    </row>
    <row r="2247" spans="7:178" x14ac:dyDescent="0.4">
      <c r="G2247" s="36"/>
      <c r="FV2247" s="24"/>
    </row>
    <row r="2248" spans="7:178" x14ac:dyDescent="0.4">
      <c r="G2248" s="36"/>
      <c r="FV2248" s="24"/>
    </row>
    <row r="2249" spans="7:178" x14ac:dyDescent="0.4">
      <c r="G2249" s="36"/>
      <c r="FV2249" s="24"/>
    </row>
    <row r="2250" spans="7:178" x14ac:dyDescent="0.4">
      <c r="G2250" s="36"/>
      <c r="FV2250" s="24"/>
    </row>
    <row r="2251" spans="7:178" x14ac:dyDescent="0.4">
      <c r="G2251" s="36"/>
      <c r="FV2251" s="24"/>
    </row>
    <row r="2252" spans="7:178" x14ac:dyDescent="0.4">
      <c r="G2252" s="36"/>
      <c r="FV2252" s="24"/>
    </row>
    <row r="2253" spans="7:178" x14ac:dyDescent="0.4">
      <c r="G2253" s="36"/>
      <c r="FV2253" s="24"/>
    </row>
    <row r="2254" spans="7:178" x14ac:dyDescent="0.4">
      <c r="G2254" s="36"/>
      <c r="FV2254" s="24"/>
    </row>
    <row r="2255" spans="7:178" x14ac:dyDescent="0.4">
      <c r="G2255" s="36"/>
      <c r="FV2255" s="24"/>
    </row>
    <row r="2256" spans="7:178" x14ac:dyDescent="0.4">
      <c r="G2256" s="36"/>
      <c r="FV2256" s="24"/>
    </row>
    <row r="2257" spans="7:178" x14ac:dyDescent="0.4">
      <c r="G2257" s="36"/>
      <c r="FV2257" s="24"/>
    </row>
    <row r="2258" spans="7:178" x14ac:dyDescent="0.4">
      <c r="G2258" s="36"/>
      <c r="FV2258" s="24"/>
    </row>
    <row r="2259" spans="7:178" x14ac:dyDescent="0.4">
      <c r="G2259" s="36"/>
      <c r="FV2259" s="24"/>
    </row>
    <row r="2260" spans="7:178" x14ac:dyDescent="0.4">
      <c r="G2260" s="36"/>
      <c r="FV2260" s="24"/>
    </row>
    <row r="2261" spans="7:178" x14ac:dyDescent="0.4">
      <c r="G2261" s="36"/>
      <c r="FV2261" s="24"/>
    </row>
    <row r="2262" spans="7:178" x14ac:dyDescent="0.4">
      <c r="G2262" s="36"/>
      <c r="FV2262" s="24"/>
    </row>
    <row r="2263" spans="7:178" x14ac:dyDescent="0.4">
      <c r="G2263" s="36"/>
      <c r="FV2263" s="24"/>
    </row>
    <row r="2264" spans="7:178" x14ac:dyDescent="0.4">
      <c r="G2264" s="36"/>
      <c r="FV2264" s="24"/>
    </row>
    <row r="2265" spans="7:178" x14ac:dyDescent="0.4">
      <c r="G2265" s="36"/>
      <c r="FV2265" s="24"/>
    </row>
    <row r="2266" spans="7:178" x14ac:dyDescent="0.4">
      <c r="G2266" s="36"/>
      <c r="FV2266" s="24"/>
    </row>
    <row r="2267" spans="7:178" x14ac:dyDescent="0.4">
      <c r="G2267" s="36"/>
      <c r="FV2267" s="24"/>
    </row>
    <row r="2268" spans="7:178" x14ac:dyDescent="0.4">
      <c r="G2268" s="36"/>
      <c r="FV2268" s="24"/>
    </row>
    <row r="2269" spans="7:178" x14ac:dyDescent="0.4">
      <c r="G2269" s="36"/>
      <c r="FV2269" s="24"/>
    </row>
    <row r="2270" spans="7:178" x14ac:dyDescent="0.4">
      <c r="G2270" s="36"/>
      <c r="FV2270" s="24"/>
    </row>
    <row r="2271" spans="7:178" x14ac:dyDescent="0.4">
      <c r="G2271" s="36"/>
      <c r="FV2271" s="24"/>
    </row>
    <row r="2272" spans="7:178" x14ac:dyDescent="0.4">
      <c r="G2272" s="36"/>
      <c r="FV2272" s="24"/>
    </row>
    <row r="2273" spans="7:178" x14ac:dyDescent="0.4">
      <c r="G2273" s="36"/>
      <c r="FV2273" s="24"/>
    </row>
    <row r="2274" spans="7:178" x14ac:dyDescent="0.4">
      <c r="G2274" s="36"/>
      <c r="FV2274" s="24"/>
    </row>
    <row r="2275" spans="7:178" x14ac:dyDescent="0.4">
      <c r="G2275" s="36"/>
      <c r="FV2275" s="24"/>
    </row>
    <row r="2276" spans="7:178" x14ac:dyDescent="0.4">
      <c r="G2276" s="36"/>
      <c r="FV2276" s="24"/>
    </row>
    <row r="2277" spans="7:178" x14ac:dyDescent="0.4">
      <c r="G2277" s="36"/>
      <c r="FV2277" s="24"/>
    </row>
    <row r="2278" spans="7:178" x14ac:dyDescent="0.4">
      <c r="G2278" s="36"/>
      <c r="FV2278" s="24"/>
    </row>
    <row r="2279" spans="7:178" x14ac:dyDescent="0.4">
      <c r="G2279" s="36"/>
      <c r="FV2279" s="24"/>
    </row>
    <row r="2280" spans="7:178" x14ac:dyDescent="0.4">
      <c r="G2280" s="36"/>
      <c r="FV2280" s="24"/>
    </row>
    <row r="2281" spans="7:178" x14ac:dyDescent="0.4">
      <c r="G2281" s="36"/>
      <c r="FV2281" s="24"/>
    </row>
    <row r="2282" spans="7:178" x14ac:dyDescent="0.4">
      <c r="G2282" s="36"/>
      <c r="FV2282" s="24"/>
    </row>
    <row r="2283" spans="7:178" x14ac:dyDescent="0.4">
      <c r="G2283" s="36"/>
      <c r="FV2283" s="24"/>
    </row>
    <row r="2284" spans="7:178" x14ac:dyDescent="0.4">
      <c r="G2284" s="36"/>
      <c r="FV2284" s="24"/>
    </row>
    <row r="2285" spans="7:178" x14ac:dyDescent="0.4">
      <c r="G2285" s="36"/>
      <c r="FV2285" s="24"/>
    </row>
    <row r="2286" spans="7:178" x14ac:dyDescent="0.4">
      <c r="G2286" s="36"/>
      <c r="FV2286" s="24"/>
    </row>
    <row r="2287" spans="7:178" x14ac:dyDescent="0.4">
      <c r="G2287" s="36"/>
      <c r="FV2287" s="24"/>
    </row>
    <row r="2288" spans="7:178" x14ac:dyDescent="0.4">
      <c r="G2288" s="36"/>
      <c r="FV2288" s="24"/>
    </row>
    <row r="2289" spans="7:178" x14ac:dyDescent="0.4">
      <c r="G2289" s="36"/>
      <c r="FV2289" s="24"/>
    </row>
    <row r="2290" spans="7:178" x14ac:dyDescent="0.4">
      <c r="G2290" s="36"/>
      <c r="FV2290" s="24"/>
    </row>
    <row r="2291" spans="7:178" x14ac:dyDescent="0.4">
      <c r="G2291" s="36"/>
      <c r="FV2291" s="24"/>
    </row>
    <row r="2292" spans="7:178" x14ac:dyDescent="0.4">
      <c r="G2292" s="36"/>
      <c r="FV2292" s="24"/>
    </row>
    <row r="2293" spans="7:178" x14ac:dyDescent="0.4">
      <c r="G2293" s="36"/>
      <c r="FV2293" s="24"/>
    </row>
    <row r="2294" spans="7:178" x14ac:dyDescent="0.4">
      <c r="G2294" s="36"/>
      <c r="FV2294" s="24"/>
    </row>
    <row r="2295" spans="7:178" x14ac:dyDescent="0.4">
      <c r="G2295" s="36"/>
      <c r="FV2295" s="24"/>
    </row>
    <row r="2296" spans="7:178" x14ac:dyDescent="0.4">
      <c r="G2296" s="36"/>
      <c r="FV2296" s="24"/>
    </row>
    <row r="2297" spans="7:178" x14ac:dyDescent="0.4">
      <c r="G2297" s="36"/>
      <c r="FV2297" s="24"/>
    </row>
    <row r="2298" spans="7:178" x14ac:dyDescent="0.4">
      <c r="G2298" s="36"/>
      <c r="FV2298" s="24"/>
    </row>
    <row r="2299" spans="7:178" x14ac:dyDescent="0.4">
      <c r="G2299" s="36"/>
      <c r="FV2299" s="24"/>
    </row>
    <row r="2300" spans="7:178" x14ac:dyDescent="0.4">
      <c r="G2300" s="36"/>
      <c r="FV2300" s="24"/>
    </row>
    <row r="2301" spans="7:178" x14ac:dyDescent="0.4">
      <c r="G2301" s="36"/>
      <c r="FV2301" s="24"/>
    </row>
    <row r="2302" spans="7:178" x14ac:dyDescent="0.4">
      <c r="G2302" s="36"/>
      <c r="FV2302" s="24"/>
    </row>
    <row r="2303" spans="7:178" x14ac:dyDescent="0.4">
      <c r="G2303" s="36"/>
      <c r="FV2303" s="24"/>
    </row>
    <row r="2304" spans="7:178" x14ac:dyDescent="0.4">
      <c r="G2304" s="36"/>
      <c r="FV2304" s="24"/>
    </row>
    <row r="2305" spans="7:178" x14ac:dyDescent="0.4">
      <c r="G2305" s="36"/>
      <c r="FV2305" s="24"/>
    </row>
    <row r="2306" spans="7:178" x14ac:dyDescent="0.4">
      <c r="G2306" s="36"/>
      <c r="FV2306" s="24"/>
    </row>
    <row r="2307" spans="7:178" x14ac:dyDescent="0.4">
      <c r="G2307" s="36"/>
      <c r="FV2307" s="24"/>
    </row>
    <row r="2308" spans="7:178" x14ac:dyDescent="0.4">
      <c r="G2308" s="36"/>
      <c r="FV2308" s="24"/>
    </row>
    <row r="2309" spans="7:178" x14ac:dyDescent="0.4">
      <c r="G2309" s="36"/>
      <c r="FV2309" s="24"/>
    </row>
    <row r="2310" spans="7:178" x14ac:dyDescent="0.4">
      <c r="G2310" s="36"/>
      <c r="FV2310" s="24"/>
    </row>
    <row r="2311" spans="7:178" x14ac:dyDescent="0.4">
      <c r="G2311" s="36"/>
      <c r="FV2311" s="24"/>
    </row>
    <row r="2312" spans="7:178" x14ac:dyDescent="0.4">
      <c r="G2312" s="36"/>
      <c r="FV2312" s="24"/>
    </row>
    <row r="2313" spans="7:178" x14ac:dyDescent="0.4">
      <c r="G2313" s="36"/>
      <c r="FV2313" s="24"/>
    </row>
    <row r="2314" spans="7:178" x14ac:dyDescent="0.4">
      <c r="G2314" s="36"/>
      <c r="FV2314" s="24"/>
    </row>
    <row r="2315" spans="7:178" x14ac:dyDescent="0.4">
      <c r="G2315" s="36"/>
      <c r="FV2315" s="24"/>
    </row>
    <row r="2316" spans="7:178" x14ac:dyDescent="0.4">
      <c r="G2316" s="36"/>
      <c r="FV2316" s="24"/>
    </row>
    <row r="2317" spans="7:178" x14ac:dyDescent="0.4">
      <c r="G2317" s="36"/>
      <c r="FV2317" s="24"/>
    </row>
    <row r="2318" spans="7:178" x14ac:dyDescent="0.4">
      <c r="G2318" s="36"/>
      <c r="FV2318" s="24"/>
    </row>
    <row r="2319" spans="7:178" x14ac:dyDescent="0.4">
      <c r="G2319" s="36"/>
      <c r="FV2319" s="24"/>
    </row>
    <row r="2320" spans="7:178" x14ac:dyDescent="0.4">
      <c r="G2320" s="36"/>
      <c r="FV2320" s="24"/>
    </row>
    <row r="2321" spans="7:178" x14ac:dyDescent="0.4">
      <c r="G2321" s="36"/>
      <c r="FV2321" s="24"/>
    </row>
    <row r="2322" spans="7:178" x14ac:dyDescent="0.4">
      <c r="G2322" s="36"/>
      <c r="FV2322" s="24"/>
    </row>
    <row r="2323" spans="7:178" x14ac:dyDescent="0.4">
      <c r="G2323" s="36"/>
      <c r="FV2323" s="24"/>
    </row>
    <row r="2324" spans="7:178" x14ac:dyDescent="0.4">
      <c r="G2324" s="36"/>
      <c r="FV2324" s="24"/>
    </row>
    <row r="2325" spans="7:178" x14ac:dyDescent="0.4">
      <c r="G2325" s="36"/>
      <c r="FV2325" s="24"/>
    </row>
    <row r="2326" spans="7:178" x14ac:dyDescent="0.4">
      <c r="G2326" s="36"/>
      <c r="FV2326" s="24"/>
    </row>
    <row r="2327" spans="7:178" x14ac:dyDescent="0.4">
      <c r="G2327" s="36"/>
      <c r="FV2327" s="24"/>
    </row>
    <row r="2328" spans="7:178" x14ac:dyDescent="0.4">
      <c r="G2328" s="36"/>
      <c r="FV2328" s="24"/>
    </row>
    <row r="2329" spans="7:178" x14ac:dyDescent="0.4">
      <c r="G2329" s="36"/>
      <c r="FV2329" s="24"/>
    </row>
    <row r="2330" spans="7:178" x14ac:dyDescent="0.4">
      <c r="G2330" s="36"/>
      <c r="FV2330" s="24"/>
    </row>
    <row r="2331" spans="7:178" x14ac:dyDescent="0.4">
      <c r="G2331" s="36"/>
      <c r="FV2331" s="24"/>
    </row>
    <row r="2332" spans="7:178" x14ac:dyDescent="0.4">
      <c r="G2332" s="36"/>
      <c r="FV2332" s="24"/>
    </row>
    <row r="2333" spans="7:178" x14ac:dyDescent="0.4">
      <c r="G2333" s="36"/>
      <c r="FV2333" s="24"/>
    </row>
    <row r="2334" spans="7:178" x14ac:dyDescent="0.4">
      <c r="G2334" s="36"/>
      <c r="FV2334" s="24"/>
    </row>
    <row r="2335" spans="7:178" x14ac:dyDescent="0.4">
      <c r="G2335" s="36"/>
      <c r="FV2335" s="24"/>
    </row>
    <row r="2336" spans="7:178" x14ac:dyDescent="0.4">
      <c r="G2336" s="36"/>
      <c r="FV2336" s="24"/>
    </row>
    <row r="2337" spans="7:178" x14ac:dyDescent="0.4">
      <c r="G2337" s="36"/>
      <c r="FV2337" s="24"/>
    </row>
    <row r="2338" spans="7:178" x14ac:dyDescent="0.4">
      <c r="G2338" s="36"/>
      <c r="FV2338" s="24"/>
    </row>
    <row r="2339" spans="7:178" x14ac:dyDescent="0.4">
      <c r="G2339" s="36"/>
      <c r="FV2339" s="24"/>
    </row>
    <row r="2340" spans="7:178" x14ac:dyDescent="0.4">
      <c r="G2340" s="36"/>
      <c r="FV2340" s="24"/>
    </row>
    <row r="2341" spans="7:178" x14ac:dyDescent="0.4">
      <c r="G2341" s="36"/>
      <c r="FV2341" s="24"/>
    </row>
    <row r="2342" spans="7:178" x14ac:dyDescent="0.4">
      <c r="G2342" s="36"/>
      <c r="FV2342" s="24"/>
    </row>
    <row r="2343" spans="7:178" x14ac:dyDescent="0.4">
      <c r="G2343" s="36"/>
      <c r="FV2343" s="24"/>
    </row>
    <row r="2344" spans="7:178" x14ac:dyDescent="0.4">
      <c r="G2344" s="36"/>
      <c r="FV2344" s="24"/>
    </row>
    <row r="2345" spans="7:178" x14ac:dyDescent="0.4">
      <c r="G2345" s="36"/>
      <c r="FV2345" s="24"/>
    </row>
    <row r="2346" spans="7:178" x14ac:dyDescent="0.4">
      <c r="G2346" s="36"/>
      <c r="FV2346" s="24"/>
    </row>
    <row r="2347" spans="7:178" x14ac:dyDescent="0.4">
      <c r="G2347" s="36"/>
      <c r="FV2347" s="24"/>
    </row>
    <row r="2348" spans="7:178" x14ac:dyDescent="0.4">
      <c r="G2348" s="36"/>
      <c r="FV2348" s="24"/>
    </row>
    <row r="2349" spans="7:178" x14ac:dyDescent="0.4">
      <c r="G2349" s="36"/>
      <c r="FV2349" s="24"/>
    </row>
    <row r="2350" spans="7:178" x14ac:dyDescent="0.4">
      <c r="G2350" s="36"/>
      <c r="FV2350" s="24"/>
    </row>
    <row r="2351" spans="7:178" x14ac:dyDescent="0.4">
      <c r="G2351" s="36"/>
      <c r="FV2351" s="24"/>
    </row>
    <row r="2352" spans="7:178" x14ac:dyDescent="0.4">
      <c r="G2352" s="36"/>
      <c r="FV2352" s="24"/>
    </row>
    <row r="2353" spans="7:178" x14ac:dyDescent="0.4">
      <c r="G2353" s="36"/>
      <c r="FV2353" s="24"/>
    </row>
    <row r="2354" spans="7:178" x14ac:dyDescent="0.4">
      <c r="G2354" s="36"/>
      <c r="FV2354" s="24"/>
    </row>
    <row r="2355" spans="7:178" x14ac:dyDescent="0.4">
      <c r="G2355" s="36"/>
      <c r="FV2355" s="24"/>
    </row>
    <row r="2356" spans="7:178" x14ac:dyDescent="0.4">
      <c r="G2356" s="36"/>
      <c r="FV2356" s="24"/>
    </row>
    <row r="2357" spans="7:178" x14ac:dyDescent="0.4">
      <c r="G2357" s="36"/>
      <c r="FV2357" s="24"/>
    </row>
    <row r="2358" spans="7:178" x14ac:dyDescent="0.4">
      <c r="G2358" s="36"/>
      <c r="FV2358" s="24"/>
    </row>
    <row r="2359" spans="7:178" x14ac:dyDescent="0.4">
      <c r="G2359" s="36"/>
      <c r="FV2359" s="24"/>
    </row>
    <row r="2360" spans="7:178" x14ac:dyDescent="0.4">
      <c r="G2360" s="36"/>
      <c r="FV2360" s="24"/>
    </row>
    <row r="2361" spans="7:178" x14ac:dyDescent="0.4">
      <c r="G2361" s="36"/>
      <c r="FV2361" s="24"/>
    </row>
    <row r="2362" spans="7:178" x14ac:dyDescent="0.4">
      <c r="G2362" s="36"/>
      <c r="FV2362" s="24"/>
    </row>
    <row r="2363" spans="7:178" x14ac:dyDescent="0.4">
      <c r="G2363" s="36"/>
      <c r="FV2363" s="24"/>
    </row>
    <row r="2364" spans="7:178" x14ac:dyDescent="0.4">
      <c r="G2364" s="36"/>
      <c r="FV2364" s="24"/>
    </row>
    <row r="2365" spans="7:178" x14ac:dyDescent="0.4">
      <c r="G2365" s="36"/>
      <c r="FV2365" s="24"/>
    </row>
    <row r="2366" spans="7:178" x14ac:dyDescent="0.4">
      <c r="G2366" s="36"/>
      <c r="FV2366" s="24"/>
    </row>
    <row r="2367" spans="7:178" x14ac:dyDescent="0.4">
      <c r="G2367" s="36"/>
      <c r="FV2367" s="24"/>
    </row>
    <row r="2368" spans="7:178" x14ac:dyDescent="0.4">
      <c r="G2368" s="36"/>
      <c r="FV2368" s="24"/>
    </row>
    <row r="2369" spans="7:178" x14ac:dyDescent="0.4">
      <c r="G2369" s="36"/>
      <c r="FV2369" s="24"/>
    </row>
    <row r="2370" spans="7:178" x14ac:dyDescent="0.4">
      <c r="G2370" s="36"/>
      <c r="FV2370" s="24"/>
    </row>
    <row r="2371" spans="7:178" x14ac:dyDescent="0.4">
      <c r="G2371" s="36"/>
      <c r="FV2371" s="24"/>
    </row>
    <row r="2372" spans="7:178" x14ac:dyDescent="0.4">
      <c r="G2372" s="36"/>
      <c r="FV2372" s="24"/>
    </row>
    <row r="2373" spans="7:178" x14ac:dyDescent="0.4">
      <c r="G2373" s="36"/>
      <c r="FV2373" s="24"/>
    </row>
    <row r="2374" spans="7:178" x14ac:dyDescent="0.4">
      <c r="G2374" s="36"/>
      <c r="FV2374" s="24"/>
    </row>
    <row r="2375" spans="7:178" x14ac:dyDescent="0.4">
      <c r="G2375" s="36"/>
      <c r="FV2375" s="24"/>
    </row>
    <row r="2376" spans="7:178" x14ac:dyDescent="0.4">
      <c r="G2376" s="36"/>
      <c r="FV2376" s="24"/>
    </row>
    <row r="2377" spans="7:178" x14ac:dyDescent="0.4">
      <c r="G2377" s="36"/>
      <c r="FV2377" s="24"/>
    </row>
    <row r="2378" spans="7:178" x14ac:dyDescent="0.4">
      <c r="G2378" s="36"/>
      <c r="FV2378" s="24"/>
    </row>
    <row r="2379" spans="7:178" x14ac:dyDescent="0.4">
      <c r="G2379" s="36"/>
      <c r="FV2379" s="24"/>
    </row>
    <row r="2380" spans="7:178" x14ac:dyDescent="0.4">
      <c r="G2380" s="36"/>
      <c r="FV2380" s="24"/>
    </row>
    <row r="2381" spans="7:178" x14ac:dyDescent="0.4">
      <c r="G2381" s="36"/>
      <c r="FV2381" s="24"/>
    </row>
    <row r="2382" spans="7:178" x14ac:dyDescent="0.4">
      <c r="G2382" s="36"/>
      <c r="FV2382" s="24"/>
    </row>
    <row r="2383" spans="7:178" x14ac:dyDescent="0.4">
      <c r="G2383" s="36"/>
      <c r="FV2383" s="24"/>
    </row>
    <row r="2384" spans="7:178" x14ac:dyDescent="0.4">
      <c r="G2384" s="36"/>
      <c r="FV2384" s="24"/>
    </row>
    <row r="2385" spans="7:178" x14ac:dyDescent="0.4">
      <c r="G2385" s="36"/>
      <c r="FV2385" s="24"/>
    </row>
    <row r="2386" spans="7:178" x14ac:dyDescent="0.4">
      <c r="G2386" s="36"/>
      <c r="FV2386" s="24"/>
    </row>
    <row r="2387" spans="7:178" x14ac:dyDescent="0.4">
      <c r="G2387" s="36"/>
      <c r="FV2387" s="24"/>
    </row>
    <row r="2388" spans="7:178" x14ac:dyDescent="0.4">
      <c r="G2388" s="36"/>
      <c r="FV2388" s="24"/>
    </row>
    <row r="2389" spans="7:178" x14ac:dyDescent="0.4">
      <c r="G2389" s="36"/>
      <c r="FV2389" s="24"/>
    </row>
    <row r="2390" spans="7:178" x14ac:dyDescent="0.4">
      <c r="G2390" s="36"/>
      <c r="FV2390" s="24"/>
    </row>
    <row r="2391" spans="7:178" x14ac:dyDescent="0.4">
      <c r="G2391" s="36"/>
      <c r="FV2391" s="24"/>
    </row>
    <row r="2392" spans="7:178" x14ac:dyDescent="0.4">
      <c r="G2392" s="36"/>
      <c r="FV2392" s="24"/>
    </row>
    <row r="2393" spans="7:178" x14ac:dyDescent="0.4">
      <c r="G2393" s="36"/>
      <c r="FV2393" s="24"/>
    </row>
    <row r="2394" spans="7:178" x14ac:dyDescent="0.4">
      <c r="G2394" s="36"/>
      <c r="FV2394" s="24"/>
    </row>
    <row r="2395" spans="7:178" x14ac:dyDescent="0.4">
      <c r="G2395" s="36"/>
      <c r="FV2395" s="24"/>
    </row>
    <row r="2396" spans="7:178" x14ac:dyDescent="0.4">
      <c r="G2396" s="36"/>
      <c r="FV2396" s="24"/>
    </row>
    <row r="2397" spans="7:178" x14ac:dyDescent="0.4">
      <c r="G2397" s="36"/>
      <c r="FV2397" s="24"/>
    </row>
    <row r="2398" spans="7:178" x14ac:dyDescent="0.4">
      <c r="G2398" s="36"/>
      <c r="FV2398" s="24"/>
    </row>
    <row r="2399" spans="7:178" x14ac:dyDescent="0.4">
      <c r="G2399" s="36"/>
      <c r="FV2399" s="24"/>
    </row>
    <row r="2400" spans="7:178" x14ac:dyDescent="0.4">
      <c r="G2400" s="36"/>
      <c r="FV2400" s="24"/>
    </row>
    <row r="2401" spans="7:178" x14ac:dyDescent="0.4">
      <c r="G2401" s="36"/>
      <c r="FV2401" s="24"/>
    </row>
    <row r="2402" spans="7:178" x14ac:dyDescent="0.4">
      <c r="G2402" s="36"/>
      <c r="FV2402" s="24"/>
    </row>
    <row r="2403" spans="7:178" x14ac:dyDescent="0.4">
      <c r="G2403" s="36"/>
      <c r="FV2403" s="24"/>
    </row>
    <row r="2404" spans="7:178" x14ac:dyDescent="0.4">
      <c r="G2404" s="36"/>
      <c r="FV2404" s="24"/>
    </row>
    <row r="2405" spans="7:178" x14ac:dyDescent="0.4">
      <c r="G2405" s="36"/>
      <c r="FV2405" s="24"/>
    </row>
    <row r="2406" spans="7:178" x14ac:dyDescent="0.4">
      <c r="G2406" s="36"/>
      <c r="FV2406" s="24"/>
    </row>
    <row r="2407" spans="7:178" x14ac:dyDescent="0.4">
      <c r="G2407" s="36"/>
      <c r="FV2407" s="24"/>
    </row>
    <row r="2408" spans="7:178" x14ac:dyDescent="0.4">
      <c r="G2408" s="36"/>
      <c r="FV2408" s="24"/>
    </row>
    <row r="2409" spans="7:178" x14ac:dyDescent="0.4">
      <c r="G2409" s="36"/>
      <c r="FV2409" s="24"/>
    </row>
    <row r="2410" spans="7:178" x14ac:dyDescent="0.4">
      <c r="G2410" s="36"/>
      <c r="FV2410" s="24"/>
    </row>
    <row r="2411" spans="7:178" x14ac:dyDescent="0.4">
      <c r="G2411" s="36"/>
      <c r="FV2411" s="24"/>
    </row>
    <row r="2412" spans="7:178" x14ac:dyDescent="0.4">
      <c r="G2412" s="36"/>
      <c r="FV2412" s="24"/>
    </row>
    <row r="2413" spans="7:178" x14ac:dyDescent="0.4">
      <c r="G2413" s="36"/>
      <c r="FV2413" s="24"/>
    </row>
    <row r="2414" spans="7:178" x14ac:dyDescent="0.4">
      <c r="G2414" s="36"/>
      <c r="FV2414" s="24"/>
    </row>
    <row r="2415" spans="7:178" x14ac:dyDescent="0.4">
      <c r="G2415" s="36"/>
      <c r="FV2415" s="24"/>
    </row>
    <row r="2416" spans="7:178" x14ac:dyDescent="0.4">
      <c r="G2416" s="36"/>
      <c r="FV2416" s="24"/>
    </row>
    <row r="2417" spans="7:178" x14ac:dyDescent="0.4">
      <c r="G2417" s="36"/>
      <c r="FV2417" s="24"/>
    </row>
    <row r="2418" spans="7:178" x14ac:dyDescent="0.4">
      <c r="G2418" s="36"/>
      <c r="FV2418" s="24"/>
    </row>
    <row r="2419" spans="7:178" x14ac:dyDescent="0.4">
      <c r="G2419" s="36"/>
      <c r="FV2419" s="24"/>
    </row>
    <row r="2420" spans="7:178" x14ac:dyDescent="0.4">
      <c r="G2420" s="36"/>
      <c r="FV2420" s="24"/>
    </row>
    <row r="2421" spans="7:178" x14ac:dyDescent="0.4">
      <c r="G2421" s="36"/>
      <c r="FV2421" s="24"/>
    </row>
    <row r="2422" spans="7:178" x14ac:dyDescent="0.4">
      <c r="G2422" s="36"/>
      <c r="FV2422" s="24"/>
    </row>
    <row r="2423" spans="7:178" x14ac:dyDescent="0.4">
      <c r="G2423" s="36"/>
      <c r="FV2423" s="24"/>
    </row>
    <row r="2424" spans="7:178" x14ac:dyDescent="0.4">
      <c r="G2424" s="36"/>
      <c r="FV2424" s="24"/>
    </row>
    <row r="2425" spans="7:178" x14ac:dyDescent="0.4">
      <c r="G2425" s="36"/>
      <c r="FV2425" s="24"/>
    </row>
    <row r="2426" spans="7:178" x14ac:dyDescent="0.4">
      <c r="G2426" s="36"/>
      <c r="FV2426" s="24"/>
    </row>
    <row r="2427" spans="7:178" x14ac:dyDescent="0.4">
      <c r="G2427" s="36"/>
      <c r="FV2427" s="24"/>
    </row>
    <row r="2428" spans="7:178" x14ac:dyDescent="0.4">
      <c r="G2428" s="36"/>
      <c r="FV2428" s="24"/>
    </row>
    <row r="2429" spans="7:178" x14ac:dyDescent="0.4">
      <c r="G2429" s="36"/>
      <c r="FV2429" s="24"/>
    </row>
    <row r="2430" spans="7:178" x14ac:dyDescent="0.4">
      <c r="G2430" s="36"/>
      <c r="FV2430" s="24"/>
    </row>
    <row r="2431" spans="7:178" x14ac:dyDescent="0.4">
      <c r="G2431" s="36"/>
      <c r="FV2431" s="24"/>
    </row>
    <row r="2432" spans="7:178" x14ac:dyDescent="0.4">
      <c r="G2432" s="36"/>
      <c r="FV2432" s="24"/>
    </row>
    <row r="2433" spans="7:178" x14ac:dyDescent="0.4">
      <c r="G2433" s="36"/>
      <c r="FV2433" s="24"/>
    </row>
    <row r="2434" spans="7:178" x14ac:dyDescent="0.4">
      <c r="G2434" s="36"/>
      <c r="FV2434" s="24"/>
    </row>
    <row r="2435" spans="7:178" x14ac:dyDescent="0.4">
      <c r="G2435" s="36"/>
      <c r="FV2435" s="24"/>
    </row>
    <row r="2436" spans="7:178" x14ac:dyDescent="0.4">
      <c r="G2436" s="36"/>
      <c r="FV2436" s="24"/>
    </row>
    <row r="2437" spans="7:178" x14ac:dyDescent="0.4">
      <c r="G2437" s="36"/>
      <c r="FV2437" s="24"/>
    </row>
    <row r="2438" spans="7:178" x14ac:dyDescent="0.4">
      <c r="G2438" s="36"/>
      <c r="FV2438" s="24"/>
    </row>
    <row r="2439" spans="7:178" x14ac:dyDescent="0.4">
      <c r="G2439" s="36"/>
      <c r="FV2439" s="24"/>
    </row>
    <row r="2440" spans="7:178" x14ac:dyDescent="0.4">
      <c r="G2440" s="36"/>
      <c r="FV2440" s="24"/>
    </row>
    <row r="2441" spans="7:178" x14ac:dyDescent="0.4">
      <c r="G2441" s="36"/>
      <c r="FV2441" s="24"/>
    </row>
    <row r="2442" spans="7:178" x14ac:dyDescent="0.4">
      <c r="G2442" s="36"/>
      <c r="FV2442" s="24"/>
    </row>
    <row r="2443" spans="7:178" x14ac:dyDescent="0.4">
      <c r="G2443" s="36"/>
      <c r="FV2443" s="24"/>
    </row>
    <row r="2444" spans="7:178" x14ac:dyDescent="0.4">
      <c r="G2444" s="36"/>
      <c r="FV2444" s="24"/>
    </row>
    <row r="2445" spans="7:178" x14ac:dyDescent="0.4">
      <c r="G2445" s="36"/>
      <c r="FV2445" s="24"/>
    </row>
    <row r="2446" spans="7:178" x14ac:dyDescent="0.4">
      <c r="G2446" s="36"/>
      <c r="FV2446" s="24"/>
    </row>
    <row r="2447" spans="7:178" x14ac:dyDescent="0.4">
      <c r="G2447" s="36"/>
      <c r="FV2447" s="24"/>
    </row>
    <row r="2448" spans="7:178" x14ac:dyDescent="0.4">
      <c r="G2448" s="36"/>
      <c r="FV2448" s="24"/>
    </row>
    <row r="2449" spans="7:178" x14ac:dyDescent="0.4">
      <c r="G2449" s="36"/>
      <c r="FV2449" s="24"/>
    </row>
    <row r="2450" spans="7:178" x14ac:dyDescent="0.4">
      <c r="G2450" s="36"/>
      <c r="FV2450" s="24"/>
    </row>
    <row r="2451" spans="7:178" x14ac:dyDescent="0.4">
      <c r="G2451" s="36"/>
      <c r="FV2451" s="24"/>
    </row>
    <row r="2452" spans="7:178" x14ac:dyDescent="0.4">
      <c r="G2452" s="36"/>
      <c r="FV2452" s="24"/>
    </row>
    <row r="2453" spans="7:178" x14ac:dyDescent="0.4">
      <c r="G2453" s="36"/>
      <c r="FV2453" s="24"/>
    </row>
    <row r="2454" spans="7:178" x14ac:dyDescent="0.4">
      <c r="G2454" s="36"/>
      <c r="FV2454" s="24"/>
    </row>
    <row r="2455" spans="7:178" x14ac:dyDescent="0.4">
      <c r="G2455" s="36"/>
      <c r="FV2455" s="24"/>
    </row>
    <row r="2456" spans="7:178" x14ac:dyDescent="0.4">
      <c r="G2456" s="36"/>
      <c r="FV2456" s="24"/>
    </row>
    <row r="2457" spans="7:178" x14ac:dyDescent="0.4">
      <c r="G2457" s="36"/>
      <c r="FV2457" s="24"/>
    </row>
    <row r="2458" spans="7:178" x14ac:dyDescent="0.4">
      <c r="G2458" s="36"/>
      <c r="FV2458" s="24"/>
    </row>
    <row r="2459" spans="7:178" x14ac:dyDescent="0.4">
      <c r="G2459" s="36"/>
      <c r="FV2459" s="24"/>
    </row>
    <row r="2460" spans="7:178" x14ac:dyDescent="0.4">
      <c r="G2460" s="36"/>
      <c r="FV2460" s="24"/>
    </row>
    <row r="2461" spans="7:178" x14ac:dyDescent="0.4">
      <c r="G2461" s="36"/>
      <c r="FV2461" s="24"/>
    </row>
    <row r="2462" spans="7:178" x14ac:dyDescent="0.4">
      <c r="G2462" s="36"/>
      <c r="FV2462" s="24"/>
    </row>
    <row r="2463" spans="7:178" x14ac:dyDescent="0.4">
      <c r="G2463" s="36"/>
      <c r="FV2463" s="24"/>
    </row>
    <row r="2464" spans="7:178" x14ac:dyDescent="0.4">
      <c r="G2464" s="36"/>
      <c r="FV2464" s="24"/>
    </row>
    <row r="2465" spans="7:178" x14ac:dyDescent="0.4">
      <c r="G2465" s="36"/>
      <c r="FV2465" s="24"/>
    </row>
    <row r="2466" spans="7:178" x14ac:dyDescent="0.4">
      <c r="G2466" s="36"/>
      <c r="FV2466" s="24"/>
    </row>
    <row r="2467" spans="7:178" x14ac:dyDescent="0.4">
      <c r="G2467" s="36"/>
      <c r="FV2467" s="24"/>
    </row>
    <row r="2468" spans="7:178" x14ac:dyDescent="0.4">
      <c r="G2468" s="36"/>
      <c r="FV2468" s="24"/>
    </row>
    <row r="2469" spans="7:178" x14ac:dyDescent="0.4">
      <c r="G2469" s="36"/>
      <c r="FV2469" s="24"/>
    </row>
    <row r="2470" spans="7:178" x14ac:dyDescent="0.4">
      <c r="G2470" s="36"/>
      <c r="FV2470" s="24"/>
    </row>
    <row r="2471" spans="7:178" x14ac:dyDescent="0.4">
      <c r="G2471" s="36"/>
      <c r="FV2471" s="24"/>
    </row>
    <row r="2472" spans="7:178" x14ac:dyDescent="0.4">
      <c r="G2472" s="36"/>
      <c r="FV2472" s="24"/>
    </row>
    <row r="2473" spans="7:178" x14ac:dyDescent="0.4">
      <c r="G2473" s="36"/>
      <c r="FV2473" s="24"/>
    </row>
    <row r="2474" spans="7:178" x14ac:dyDescent="0.4">
      <c r="G2474" s="36"/>
      <c r="FV2474" s="24"/>
    </row>
    <row r="2475" spans="7:178" x14ac:dyDescent="0.4">
      <c r="G2475" s="36"/>
      <c r="FV2475" s="24"/>
    </row>
    <row r="2476" spans="7:178" x14ac:dyDescent="0.4">
      <c r="G2476" s="36"/>
      <c r="FV2476" s="24"/>
    </row>
    <row r="2477" spans="7:178" x14ac:dyDescent="0.4">
      <c r="G2477" s="36"/>
      <c r="FV2477" s="24"/>
    </row>
    <row r="2478" spans="7:178" x14ac:dyDescent="0.4">
      <c r="G2478" s="36"/>
      <c r="FV2478" s="24"/>
    </row>
    <row r="2479" spans="7:178" x14ac:dyDescent="0.4">
      <c r="G2479" s="36"/>
      <c r="FV2479" s="24"/>
    </row>
    <row r="2480" spans="7:178" x14ac:dyDescent="0.4">
      <c r="G2480" s="36"/>
      <c r="FV2480" s="24"/>
    </row>
    <row r="2481" spans="7:178" x14ac:dyDescent="0.4">
      <c r="G2481" s="36"/>
      <c r="FV2481" s="24"/>
    </row>
    <row r="2482" spans="7:178" x14ac:dyDescent="0.4">
      <c r="G2482" s="36"/>
      <c r="FV2482" s="24"/>
    </row>
    <row r="2483" spans="7:178" x14ac:dyDescent="0.4">
      <c r="G2483" s="36"/>
      <c r="FV2483" s="24"/>
    </row>
    <row r="2484" spans="7:178" x14ac:dyDescent="0.4">
      <c r="G2484" s="36"/>
      <c r="FV2484" s="24"/>
    </row>
    <row r="2485" spans="7:178" x14ac:dyDescent="0.4">
      <c r="G2485" s="36"/>
      <c r="FV2485" s="24"/>
    </row>
    <row r="2486" spans="7:178" x14ac:dyDescent="0.4">
      <c r="G2486" s="36"/>
      <c r="FV2486" s="24"/>
    </row>
    <row r="2487" spans="7:178" x14ac:dyDescent="0.4">
      <c r="G2487" s="36"/>
      <c r="FV2487" s="24"/>
    </row>
    <row r="2488" spans="7:178" x14ac:dyDescent="0.4">
      <c r="G2488" s="36"/>
      <c r="FV2488" s="24"/>
    </row>
    <row r="2489" spans="7:178" x14ac:dyDescent="0.4">
      <c r="G2489" s="36"/>
      <c r="FV2489" s="24"/>
    </row>
    <row r="2490" spans="7:178" x14ac:dyDescent="0.4">
      <c r="G2490" s="36"/>
      <c r="FV2490" s="24"/>
    </row>
    <row r="2491" spans="7:178" x14ac:dyDescent="0.4">
      <c r="G2491" s="36"/>
      <c r="FV2491" s="24"/>
    </row>
    <row r="2492" spans="7:178" x14ac:dyDescent="0.4">
      <c r="G2492" s="36"/>
      <c r="FV2492" s="24"/>
    </row>
    <row r="2493" spans="7:178" x14ac:dyDescent="0.4">
      <c r="G2493" s="36"/>
      <c r="FV2493" s="24"/>
    </row>
    <row r="2494" spans="7:178" x14ac:dyDescent="0.4">
      <c r="G2494" s="36"/>
      <c r="FV2494" s="24"/>
    </row>
    <row r="2495" spans="7:178" x14ac:dyDescent="0.4">
      <c r="G2495" s="36"/>
      <c r="FV2495" s="24"/>
    </row>
    <row r="2496" spans="7:178" x14ac:dyDescent="0.4">
      <c r="G2496" s="36"/>
      <c r="FV2496" s="24"/>
    </row>
    <row r="2497" spans="7:178" x14ac:dyDescent="0.4">
      <c r="G2497" s="36"/>
      <c r="FV2497" s="24"/>
    </row>
    <row r="2498" spans="7:178" x14ac:dyDescent="0.4">
      <c r="G2498" s="36"/>
      <c r="FV2498" s="24"/>
    </row>
    <row r="2499" spans="7:178" x14ac:dyDescent="0.4">
      <c r="G2499" s="36"/>
      <c r="FV2499" s="24"/>
    </row>
    <row r="2500" spans="7:178" x14ac:dyDescent="0.4">
      <c r="G2500" s="36"/>
      <c r="FV2500" s="24"/>
    </row>
    <row r="2501" spans="7:178" x14ac:dyDescent="0.4">
      <c r="G2501" s="36"/>
      <c r="FV2501" s="24"/>
    </row>
    <row r="2502" spans="7:178" x14ac:dyDescent="0.4">
      <c r="G2502" s="36"/>
      <c r="FV2502" s="24"/>
    </row>
    <row r="2503" spans="7:178" x14ac:dyDescent="0.4">
      <c r="G2503" s="36"/>
      <c r="FV2503" s="24"/>
    </row>
    <row r="2504" spans="7:178" x14ac:dyDescent="0.4">
      <c r="G2504" s="36"/>
      <c r="FV2504" s="24"/>
    </row>
    <row r="2505" spans="7:178" x14ac:dyDescent="0.4">
      <c r="G2505" s="36"/>
      <c r="FV2505" s="24"/>
    </row>
    <row r="2506" spans="7:178" x14ac:dyDescent="0.4">
      <c r="G2506" s="36"/>
      <c r="FV2506" s="24"/>
    </row>
    <row r="2507" spans="7:178" x14ac:dyDescent="0.4">
      <c r="G2507" s="36"/>
      <c r="FV2507" s="24"/>
    </row>
    <row r="2508" spans="7:178" x14ac:dyDescent="0.4">
      <c r="G2508" s="36"/>
      <c r="FV2508" s="24"/>
    </row>
    <row r="2509" spans="7:178" x14ac:dyDescent="0.4">
      <c r="G2509" s="36"/>
      <c r="FV2509" s="24"/>
    </row>
    <row r="2510" spans="7:178" x14ac:dyDescent="0.4">
      <c r="G2510" s="36"/>
      <c r="FV2510" s="24"/>
    </row>
    <row r="2511" spans="7:178" x14ac:dyDescent="0.4">
      <c r="G2511" s="36"/>
      <c r="FV2511" s="24"/>
    </row>
    <row r="2512" spans="7:178" x14ac:dyDescent="0.4">
      <c r="G2512" s="36"/>
      <c r="FV2512" s="24"/>
    </row>
    <row r="2513" spans="7:178" x14ac:dyDescent="0.4">
      <c r="G2513" s="36"/>
      <c r="FV2513" s="24"/>
    </row>
    <row r="2514" spans="7:178" x14ac:dyDescent="0.4">
      <c r="G2514" s="36"/>
      <c r="FV2514" s="24"/>
    </row>
    <row r="2515" spans="7:178" x14ac:dyDescent="0.4">
      <c r="G2515" s="36"/>
      <c r="FV2515" s="24"/>
    </row>
    <row r="2516" spans="7:178" x14ac:dyDescent="0.4">
      <c r="G2516" s="36"/>
      <c r="FV2516" s="24"/>
    </row>
    <row r="2517" spans="7:178" x14ac:dyDescent="0.4">
      <c r="G2517" s="36"/>
      <c r="FV2517" s="24"/>
    </row>
    <row r="2518" spans="7:178" x14ac:dyDescent="0.4">
      <c r="G2518" s="36"/>
      <c r="FV2518" s="24"/>
    </row>
    <row r="2519" spans="7:178" x14ac:dyDescent="0.4">
      <c r="G2519" s="36"/>
      <c r="FV2519" s="24"/>
    </row>
    <row r="2520" spans="7:178" x14ac:dyDescent="0.4">
      <c r="G2520" s="36"/>
      <c r="FV2520" s="24"/>
    </row>
    <row r="2521" spans="7:178" x14ac:dyDescent="0.4">
      <c r="G2521" s="36"/>
      <c r="FV2521" s="24"/>
    </row>
    <row r="2522" spans="7:178" x14ac:dyDescent="0.4">
      <c r="G2522" s="36"/>
      <c r="FV2522" s="24"/>
    </row>
    <row r="2523" spans="7:178" x14ac:dyDescent="0.4">
      <c r="G2523" s="36"/>
      <c r="FV2523" s="24"/>
    </row>
    <row r="2524" spans="7:178" x14ac:dyDescent="0.4">
      <c r="G2524" s="36"/>
      <c r="FV2524" s="24"/>
    </row>
    <row r="2525" spans="7:178" x14ac:dyDescent="0.4">
      <c r="G2525" s="36"/>
      <c r="FV2525" s="24"/>
    </row>
    <row r="2526" spans="7:178" x14ac:dyDescent="0.4">
      <c r="G2526" s="36"/>
      <c r="FV2526" s="24"/>
    </row>
    <row r="2527" spans="7:178" x14ac:dyDescent="0.4">
      <c r="G2527" s="36"/>
      <c r="FV2527" s="24"/>
    </row>
    <row r="2528" spans="7:178" x14ac:dyDescent="0.4">
      <c r="G2528" s="36"/>
      <c r="FV2528" s="24"/>
    </row>
    <row r="2529" spans="7:178" x14ac:dyDescent="0.4">
      <c r="G2529" s="36"/>
      <c r="FV2529" s="24"/>
    </row>
    <row r="2530" spans="7:178" x14ac:dyDescent="0.4">
      <c r="G2530" s="36"/>
      <c r="FV2530" s="24"/>
    </row>
    <row r="2531" spans="7:178" x14ac:dyDescent="0.4">
      <c r="G2531" s="36"/>
      <c r="FV2531" s="24"/>
    </row>
    <row r="2532" spans="7:178" x14ac:dyDescent="0.4">
      <c r="G2532" s="36"/>
      <c r="FV2532" s="24"/>
    </row>
    <row r="2533" spans="7:178" x14ac:dyDescent="0.4">
      <c r="G2533" s="36"/>
      <c r="FV2533" s="24"/>
    </row>
    <row r="2534" spans="7:178" x14ac:dyDescent="0.4">
      <c r="G2534" s="36"/>
      <c r="FV2534" s="24"/>
    </row>
    <row r="2535" spans="7:178" x14ac:dyDescent="0.4">
      <c r="G2535" s="36"/>
      <c r="FV2535" s="24"/>
    </row>
    <row r="2536" spans="7:178" x14ac:dyDescent="0.4">
      <c r="G2536" s="36"/>
      <c r="FV2536" s="24"/>
    </row>
    <row r="2537" spans="7:178" x14ac:dyDescent="0.4">
      <c r="G2537" s="36"/>
      <c r="FV2537" s="24"/>
    </row>
    <row r="2538" spans="7:178" x14ac:dyDescent="0.4">
      <c r="G2538" s="36"/>
      <c r="FV2538" s="24"/>
    </row>
    <row r="2539" spans="7:178" x14ac:dyDescent="0.4">
      <c r="G2539" s="36"/>
      <c r="FV2539" s="24"/>
    </row>
    <row r="2540" spans="7:178" x14ac:dyDescent="0.4">
      <c r="G2540" s="36"/>
      <c r="FV2540" s="24"/>
    </row>
    <row r="2541" spans="7:178" x14ac:dyDescent="0.4">
      <c r="G2541" s="36"/>
      <c r="FV2541" s="24"/>
    </row>
    <row r="2542" spans="7:178" x14ac:dyDescent="0.4">
      <c r="G2542" s="36"/>
      <c r="FV2542" s="24"/>
    </row>
    <row r="2543" spans="7:178" x14ac:dyDescent="0.4">
      <c r="G2543" s="36"/>
      <c r="FV2543" s="24"/>
    </row>
    <row r="2544" spans="7:178" x14ac:dyDescent="0.4">
      <c r="G2544" s="36"/>
      <c r="FV2544" s="24"/>
    </row>
    <row r="2545" spans="7:178" x14ac:dyDescent="0.4">
      <c r="G2545" s="36"/>
      <c r="FV2545" s="24"/>
    </row>
    <row r="2546" spans="7:178" x14ac:dyDescent="0.4">
      <c r="G2546" s="36"/>
      <c r="FV2546" s="24"/>
    </row>
    <row r="2547" spans="7:178" x14ac:dyDescent="0.4">
      <c r="G2547" s="36"/>
      <c r="FV2547" s="24"/>
    </row>
    <row r="2548" spans="7:178" x14ac:dyDescent="0.4">
      <c r="G2548" s="36"/>
      <c r="FV2548" s="24"/>
    </row>
    <row r="2549" spans="7:178" x14ac:dyDescent="0.4">
      <c r="G2549" s="36"/>
      <c r="FV2549" s="24"/>
    </row>
    <row r="2550" spans="7:178" x14ac:dyDescent="0.4">
      <c r="G2550" s="36"/>
      <c r="FV2550" s="24"/>
    </row>
    <row r="2551" spans="7:178" x14ac:dyDescent="0.4">
      <c r="G2551" s="36"/>
      <c r="FV2551" s="24"/>
    </row>
    <row r="2552" spans="7:178" x14ac:dyDescent="0.4">
      <c r="G2552" s="36"/>
      <c r="FV2552" s="24"/>
    </row>
    <row r="2553" spans="7:178" x14ac:dyDescent="0.4">
      <c r="G2553" s="36"/>
      <c r="FV2553" s="24"/>
    </row>
    <row r="2554" spans="7:178" x14ac:dyDescent="0.4">
      <c r="G2554" s="36"/>
      <c r="FV2554" s="24"/>
    </row>
    <row r="2555" spans="7:178" x14ac:dyDescent="0.4">
      <c r="G2555" s="36"/>
      <c r="FV2555" s="24"/>
    </row>
    <row r="2556" spans="7:178" x14ac:dyDescent="0.4">
      <c r="G2556" s="36"/>
      <c r="FV2556" s="24"/>
    </row>
    <row r="2557" spans="7:178" x14ac:dyDescent="0.4">
      <c r="G2557" s="36"/>
      <c r="FV2557" s="24"/>
    </row>
    <row r="2558" spans="7:178" x14ac:dyDescent="0.4">
      <c r="G2558" s="36"/>
      <c r="FV2558" s="24"/>
    </row>
    <row r="2559" spans="7:178" x14ac:dyDescent="0.4">
      <c r="G2559" s="36"/>
      <c r="FV2559" s="24"/>
    </row>
    <row r="2560" spans="7:178" x14ac:dyDescent="0.4">
      <c r="G2560" s="36"/>
      <c r="FV2560" s="24"/>
    </row>
    <row r="2561" spans="7:178" x14ac:dyDescent="0.4">
      <c r="G2561" s="36"/>
      <c r="FV2561" s="24"/>
    </row>
    <row r="2562" spans="7:178" x14ac:dyDescent="0.4">
      <c r="G2562" s="36"/>
      <c r="FV2562" s="24"/>
    </row>
    <row r="2563" spans="7:178" x14ac:dyDescent="0.4">
      <c r="G2563" s="36"/>
      <c r="FV2563" s="24"/>
    </row>
    <row r="2564" spans="7:178" x14ac:dyDescent="0.4">
      <c r="G2564" s="36"/>
      <c r="FV2564" s="24"/>
    </row>
    <row r="2565" spans="7:178" x14ac:dyDescent="0.4">
      <c r="G2565" s="36"/>
      <c r="FV2565" s="24"/>
    </row>
    <row r="2566" spans="7:178" x14ac:dyDescent="0.4">
      <c r="G2566" s="36"/>
      <c r="FV2566" s="24"/>
    </row>
    <row r="2567" spans="7:178" x14ac:dyDescent="0.4">
      <c r="G2567" s="36"/>
      <c r="FV2567" s="24"/>
    </row>
    <row r="2568" spans="7:178" x14ac:dyDescent="0.4">
      <c r="G2568" s="36"/>
      <c r="FV2568" s="24"/>
    </row>
    <row r="2569" spans="7:178" x14ac:dyDescent="0.4">
      <c r="G2569" s="36"/>
      <c r="FV2569" s="24"/>
    </row>
    <row r="2570" spans="7:178" x14ac:dyDescent="0.4">
      <c r="G2570" s="36"/>
      <c r="FV2570" s="24"/>
    </row>
    <row r="2571" spans="7:178" x14ac:dyDescent="0.4">
      <c r="G2571" s="36"/>
      <c r="FV2571" s="24"/>
    </row>
    <row r="2572" spans="7:178" x14ac:dyDescent="0.4">
      <c r="G2572" s="36"/>
      <c r="FV2572" s="24"/>
    </row>
    <row r="2573" spans="7:178" x14ac:dyDescent="0.4">
      <c r="G2573" s="36"/>
      <c r="FV2573" s="24"/>
    </row>
    <row r="2574" spans="7:178" x14ac:dyDescent="0.4">
      <c r="G2574" s="36"/>
      <c r="FV2574" s="24"/>
    </row>
    <row r="2575" spans="7:178" x14ac:dyDescent="0.4">
      <c r="G2575" s="36"/>
      <c r="FV2575" s="24"/>
    </row>
    <row r="2576" spans="7:178" x14ac:dyDescent="0.4">
      <c r="G2576" s="36"/>
      <c r="FV2576" s="24"/>
    </row>
    <row r="2577" spans="7:178" x14ac:dyDescent="0.4">
      <c r="G2577" s="36"/>
      <c r="FV2577" s="24"/>
    </row>
    <row r="2578" spans="7:178" x14ac:dyDescent="0.4">
      <c r="G2578" s="36"/>
      <c r="FV2578" s="24"/>
    </row>
    <row r="2579" spans="7:178" x14ac:dyDescent="0.4">
      <c r="G2579" s="36"/>
      <c r="FV2579" s="24"/>
    </row>
    <row r="2580" spans="7:178" x14ac:dyDescent="0.4">
      <c r="G2580" s="36"/>
      <c r="FV2580" s="24"/>
    </row>
    <row r="2581" spans="7:178" x14ac:dyDescent="0.4">
      <c r="G2581" s="36"/>
      <c r="FV2581" s="24"/>
    </row>
    <row r="2582" spans="7:178" x14ac:dyDescent="0.4">
      <c r="G2582" s="36"/>
      <c r="FV2582" s="24"/>
    </row>
    <row r="2583" spans="7:178" x14ac:dyDescent="0.4">
      <c r="G2583" s="36"/>
      <c r="FV2583" s="24"/>
    </row>
    <row r="2584" spans="7:178" x14ac:dyDescent="0.4">
      <c r="G2584" s="36"/>
      <c r="FV2584" s="24"/>
    </row>
    <row r="2585" spans="7:178" x14ac:dyDescent="0.4">
      <c r="G2585" s="36"/>
      <c r="FV2585" s="24"/>
    </row>
    <row r="2586" spans="7:178" x14ac:dyDescent="0.4">
      <c r="G2586" s="36"/>
      <c r="FV2586" s="24"/>
    </row>
    <row r="2587" spans="7:178" x14ac:dyDescent="0.4">
      <c r="G2587" s="36"/>
      <c r="FV2587" s="24"/>
    </row>
    <row r="2588" spans="7:178" x14ac:dyDescent="0.4">
      <c r="G2588" s="36"/>
      <c r="FV2588" s="24"/>
    </row>
    <row r="2589" spans="7:178" x14ac:dyDescent="0.4">
      <c r="G2589" s="36"/>
      <c r="FV2589" s="24"/>
    </row>
    <row r="2590" spans="7:178" x14ac:dyDescent="0.4">
      <c r="G2590" s="36"/>
      <c r="FV2590" s="24"/>
    </row>
    <row r="2591" spans="7:178" x14ac:dyDescent="0.4">
      <c r="G2591" s="36"/>
      <c r="FV2591" s="24"/>
    </row>
    <row r="2592" spans="7:178" x14ac:dyDescent="0.4">
      <c r="G2592" s="36"/>
      <c r="FV2592" s="24"/>
    </row>
    <row r="2593" spans="7:178" x14ac:dyDescent="0.4">
      <c r="G2593" s="36"/>
      <c r="FV2593" s="24"/>
    </row>
    <row r="2594" spans="7:178" x14ac:dyDescent="0.4">
      <c r="G2594" s="36"/>
      <c r="FV2594" s="24"/>
    </row>
    <row r="2595" spans="7:178" x14ac:dyDescent="0.4">
      <c r="G2595" s="36"/>
      <c r="FV2595" s="24"/>
    </row>
    <row r="2596" spans="7:178" x14ac:dyDescent="0.4">
      <c r="G2596" s="36"/>
      <c r="FV2596" s="24"/>
    </row>
    <row r="2597" spans="7:178" x14ac:dyDescent="0.4">
      <c r="G2597" s="36"/>
      <c r="FV2597" s="24"/>
    </row>
    <row r="2598" spans="7:178" x14ac:dyDescent="0.4">
      <c r="G2598" s="36"/>
      <c r="FV2598" s="24"/>
    </row>
    <row r="2599" spans="7:178" x14ac:dyDescent="0.4">
      <c r="G2599" s="36"/>
      <c r="FV2599" s="24"/>
    </row>
    <row r="2600" spans="7:178" x14ac:dyDescent="0.4">
      <c r="G2600" s="36"/>
      <c r="FV2600" s="24"/>
    </row>
    <row r="2601" spans="7:178" x14ac:dyDescent="0.4">
      <c r="G2601" s="36"/>
      <c r="FV2601" s="24"/>
    </row>
    <row r="2602" spans="7:178" x14ac:dyDescent="0.4">
      <c r="G2602" s="36"/>
      <c r="FV2602" s="24"/>
    </row>
    <row r="2603" spans="7:178" x14ac:dyDescent="0.4">
      <c r="G2603" s="36"/>
      <c r="FV2603" s="24"/>
    </row>
    <row r="2604" spans="7:178" x14ac:dyDescent="0.4">
      <c r="G2604" s="36"/>
      <c r="FV2604" s="24"/>
    </row>
    <row r="2605" spans="7:178" x14ac:dyDescent="0.4">
      <c r="G2605" s="36"/>
      <c r="FV2605" s="24"/>
    </row>
    <row r="2606" spans="7:178" x14ac:dyDescent="0.4">
      <c r="G2606" s="36"/>
      <c r="FV2606" s="24"/>
    </row>
    <row r="2607" spans="7:178" x14ac:dyDescent="0.4">
      <c r="G2607" s="36"/>
      <c r="FV2607" s="24"/>
    </row>
    <row r="2608" spans="7:178" x14ac:dyDescent="0.4">
      <c r="G2608" s="36"/>
      <c r="FV2608" s="24"/>
    </row>
    <row r="2609" spans="7:178" x14ac:dyDescent="0.4">
      <c r="G2609" s="36"/>
      <c r="FV2609" s="24"/>
    </row>
    <row r="2610" spans="7:178" x14ac:dyDescent="0.4">
      <c r="G2610" s="36"/>
      <c r="FV2610" s="24"/>
    </row>
    <row r="2611" spans="7:178" x14ac:dyDescent="0.4">
      <c r="G2611" s="36"/>
      <c r="FV2611" s="24"/>
    </row>
    <row r="2612" spans="7:178" x14ac:dyDescent="0.4">
      <c r="G2612" s="36"/>
      <c r="FV2612" s="24"/>
    </row>
    <row r="2613" spans="7:178" x14ac:dyDescent="0.4">
      <c r="G2613" s="36"/>
      <c r="FV2613" s="24"/>
    </row>
    <row r="2614" spans="7:178" x14ac:dyDescent="0.4">
      <c r="G2614" s="36"/>
      <c r="FV2614" s="24"/>
    </row>
    <row r="2615" spans="7:178" x14ac:dyDescent="0.4">
      <c r="G2615" s="36"/>
      <c r="FV2615" s="24"/>
    </row>
    <row r="2616" spans="7:178" x14ac:dyDescent="0.4">
      <c r="G2616" s="36"/>
      <c r="FV2616" s="24"/>
    </row>
    <row r="2617" spans="7:178" x14ac:dyDescent="0.4">
      <c r="G2617" s="36"/>
      <c r="FV2617" s="24"/>
    </row>
    <row r="2618" spans="7:178" x14ac:dyDescent="0.4">
      <c r="G2618" s="36"/>
      <c r="FV2618" s="24"/>
    </row>
    <row r="2619" spans="7:178" x14ac:dyDescent="0.4">
      <c r="G2619" s="36"/>
      <c r="FV2619" s="24"/>
    </row>
    <row r="2620" spans="7:178" x14ac:dyDescent="0.4">
      <c r="G2620" s="36"/>
      <c r="FV2620" s="24"/>
    </row>
    <row r="2621" spans="7:178" x14ac:dyDescent="0.4">
      <c r="G2621" s="36"/>
      <c r="FV2621" s="24"/>
    </row>
    <row r="2622" spans="7:178" x14ac:dyDescent="0.4">
      <c r="G2622" s="36"/>
      <c r="FV2622" s="24"/>
    </row>
    <row r="2623" spans="7:178" x14ac:dyDescent="0.4">
      <c r="G2623" s="36"/>
      <c r="FV2623" s="24"/>
    </row>
    <row r="2624" spans="7:178" x14ac:dyDescent="0.4">
      <c r="G2624" s="36"/>
      <c r="FV2624" s="24"/>
    </row>
    <row r="2625" spans="7:178" x14ac:dyDescent="0.4">
      <c r="G2625" s="36"/>
      <c r="FV2625" s="24"/>
    </row>
    <row r="2626" spans="7:178" x14ac:dyDescent="0.4">
      <c r="G2626" s="36"/>
      <c r="FV2626" s="24"/>
    </row>
    <row r="2627" spans="7:178" x14ac:dyDescent="0.4">
      <c r="G2627" s="36"/>
      <c r="FV2627" s="24"/>
    </row>
    <row r="2628" spans="7:178" x14ac:dyDescent="0.4">
      <c r="G2628" s="36"/>
      <c r="FV2628" s="24"/>
    </row>
    <row r="2629" spans="7:178" x14ac:dyDescent="0.4">
      <c r="G2629" s="36"/>
      <c r="FV2629" s="24"/>
    </row>
    <row r="2630" spans="7:178" x14ac:dyDescent="0.4">
      <c r="G2630" s="36"/>
      <c r="FV2630" s="24"/>
    </row>
    <row r="2631" spans="7:178" x14ac:dyDescent="0.4">
      <c r="G2631" s="36"/>
      <c r="FV2631" s="24"/>
    </row>
    <row r="2632" spans="7:178" x14ac:dyDescent="0.4">
      <c r="G2632" s="36"/>
      <c r="FV2632" s="24"/>
    </row>
    <row r="2633" spans="7:178" x14ac:dyDescent="0.4">
      <c r="G2633" s="36"/>
      <c r="FV2633" s="24"/>
    </row>
    <row r="2634" spans="7:178" x14ac:dyDescent="0.4">
      <c r="G2634" s="36"/>
      <c r="FV2634" s="24"/>
    </row>
    <row r="2635" spans="7:178" x14ac:dyDescent="0.4">
      <c r="G2635" s="36"/>
      <c r="FV2635" s="24"/>
    </row>
    <row r="2636" spans="7:178" x14ac:dyDescent="0.4">
      <c r="G2636" s="36"/>
      <c r="FV2636" s="24"/>
    </row>
    <row r="2637" spans="7:178" x14ac:dyDescent="0.4">
      <c r="G2637" s="36"/>
      <c r="FV2637" s="24"/>
    </row>
    <row r="2638" spans="7:178" x14ac:dyDescent="0.4">
      <c r="G2638" s="36"/>
      <c r="FV2638" s="24"/>
    </row>
    <row r="2639" spans="7:178" x14ac:dyDescent="0.4">
      <c r="G2639" s="36"/>
      <c r="FV2639" s="24"/>
    </row>
    <row r="2640" spans="7:178" x14ac:dyDescent="0.4">
      <c r="G2640" s="36"/>
      <c r="FV2640" s="24"/>
    </row>
    <row r="2641" spans="7:178" x14ac:dyDescent="0.4">
      <c r="G2641" s="36"/>
      <c r="FV2641" s="24"/>
    </row>
    <row r="2642" spans="7:178" x14ac:dyDescent="0.4">
      <c r="G2642" s="36"/>
      <c r="FV2642" s="24"/>
    </row>
    <row r="2643" spans="7:178" x14ac:dyDescent="0.4">
      <c r="G2643" s="36"/>
      <c r="FV2643" s="24"/>
    </row>
    <row r="2644" spans="7:178" x14ac:dyDescent="0.4">
      <c r="G2644" s="36"/>
      <c r="FV2644" s="24"/>
    </row>
    <row r="2645" spans="7:178" x14ac:dyDescent="0.4">
      <c r="G2645" s="36"/>
      <c r="FV2645" s="24"/>
    </row>
    <row r="2646" spans="7:178" x14ac:dyDescent="0.4">
      <c r="G2646" s="36"/>
      <c r="FV2646" s="24"/>
    </row>
    <row r="2647" spans="7:178" x14ac:dyDescent="0.4">
      <c r="G2647" s="36"/>
      <c r="FV2647" s="24"/>
    </row>
    <row r="2648" spans="7:178" x14ac:dyDescent="0.4">
      <c r="G2648" s="36"/>
      <c r="FV2648" s="24"/>
    </row>
    <row r="2649" spans="7:178" x14ac:dyDescent="0.4">
      <c r="G2649" s="36"/>
      <c r="FV2649" s="24"/>
    </row>
    <row r="2650" spans="7:178" x14ac:dyDescent="0.4">
      <c r="G2650" s="36"/>
      <c r="FV2650" s="24"/>
    </row>
    <row r="2651" spans="7:178" x14ac:dyDescent="0.4">
      <c r="G2651" s="36"/>
      <c r="FV2651" s="24"/>
    </row>
    <row r="2652" spans="7:178" x14ac:dyDescent="0.4">
      <c r="G2652" s="36"/>
      <c r="FV2652" s="24"/>
    </row>
    <row r="2653" spans="7:178" x14ac:dyDescent="0.4">
      <c r="G2653" s="36"/>
      <c r="FV2653" s="24"/>
    </row>
    <row r="2654" spans="7:178" x14ac:dyDescent="0.4">
      <c r="G2654" s="36"/>
      <c r="FV2654" s="24"/>
    </row>
    <row r="2655" spans="7:178" x14ac:dyDescent="0.4">
      <c r="G2655" s="36"/>
      <c r="FV2655" s="24"/>
    </row>
    <row r="2656" spans="7:178" x14ac:dyDescent="0.4">
      <c r="G2656" s="36"/>
      <c r="FV2656" s="24"/>
    </row>
    <row r="2657" spans="7:178" x14ac:dyDescent="0.4">
      <c r="G2657" s="36"/>
      <c r="FV2657" s="24"/>
    </row>
    <row r="2658" spans="7:178" x14ac:dyDescent="0.4">
      <c r="G2658" s="36"/>
      <c r="FV2658" s="24"/>
    </row>
    <row r="2659" spans="7:178" x14ac:dyDescent="0.4">
      <c r="G2659" s="36"/>
      <c r="FV2659" s="24"/>
    </row>
    <row r="2660" spans="7:178" x14ac:dyDescent="0.4">
      <c r="G2660" s="36"/>
      <c r="FV2660" s="24"/>
    </row>
    <row r="2661" spans="7:178" x14ac:dyDescent="0.4">
      <c r="G2661" s="36"/>
      <c r="FV2661" s="24"/>
    </row>
    <row r="2662" spans="7:178" x14ac:dyDescent="0.4">
      <c r="G2662" s="36"/>
      <c r="FV2662" s="24"/>
    </row>
    <row r="2663" spans="7:178" x14ac:dyDescent="0.4">
      <c r="G2663" s="36"/>
      <c r="FV2663" s="24"/>
    </row>
    <row r="2664" spans="7:178" x14ac:dyDescent="0.4">
      <c r="G2664" s="36"/>
      <c r="FV2664" s="24"/>
    </row>
    <row r="2665" spans="7:178" x14ac:dyDescent="0.4">
      <c r="G2665" s="36"/>
      <c r="FV2665" s="24"/>
    </row>
    <row r="2666" spans="7:178" x14ac:dyDescent="0.4">
      <c r="G2666" s="36"/>
      <c r="FV2666" s="24"/>
    </row>
    <row r="2667" spans="7:178" x14ac:dyDescent="0.4">
      <c r="G2667" s="36"/>
      <c r="FV2667" s="24"/>
    </row>
    <row r="2668" spans="7:178" x14ac:dyDescent="0.4">
      <c r="G2668" s="36"/>
      <c r="FV2668" s="24"/>
    </row>
    <row r="2669" spans="7:178" x14ac:dyDescent="0.4">
      <c r="G2669" s="36"/>
      <c r="FV2669" s="24"/>
    </row>
    <row r="2670" spans="7:178" x14ac:dyDescent="0.4">
      <c r="G2670" s="36"/>
      <c r="FV2670" s="24"/>
    </row>
    <row r="2671" spans="7:178" x14ac:dyDescent="0.4">
      <c r="G2671" s="36"/>
      <c r="FV2671" s="24"/>
    </row>
    <row r="2672" spans="7:178" x14ac:dyDescent="0.4">
      <c r="G2672" s="36"/>
      <c r="FV2672" s="24"/>
    </row>
    <row r="2673" spans="7:178" x14ac:dyDescent="0.4">
      <c r="G2673" s="36"/>
      <c r="FV2673" s="24"/>
    </row>
    <row r="2674" spans="7:178" x14ac:dyDescent="0.4">
      <c r="G2674" s="36"/>
      <c r="FV2674" s="24"/>
    </row>
    <row r="2675" spans="7:178" x14ac:dyDescent="0.4">
      <c r="G2675" s="36"/>
      <c r="FV2675" s="24"/>
    </row>
    <row r="2676" spans="7:178" x14ac:dyDescent="0.4">
      <c r="G2676" s="36"/>
      <c r="FV2676" s="24"/>
    </row>
    <row r="2677" spans="7:178" x14ac:dyDescent="0.4">
      <c r="G2677" s="36"/>
      <c r="FV2677" s="24"/>
    </row>
    <row r="2678" spans="7:178" x14ac:dyDescent="0.4">
      <c r="G2678" s="36"/>
      <c r="FV2678" s="24"/>
    </row>
    <row r="2679" spans="7:178" x14ac:dyDescent="0.4">
      <c r="G2679" s="36"/>
      <c r="FV2679" s="24"/>
    </row>
    <row r="2680" spans="7:178" x14ac:dyDescent="0.4">
      <c r="G2680" s="36"/>
      <c r="FV2680" s="24"/>
    </row>
    <row r="2681" spans="7:178" x14ac:dyDescent="0.4">
      <c r="G2681" s="36"/>
      <c r="FV2681" s="24"/>
    </row>
    <row r="2682" spans="7:178" x14ac:dyDescent="0.4">
      <c r="G2682" s="36"/>
      <c r="FV2682" s="24"/>
    </row>
    <row r="2683" spans="7:178" x14ac:dyDescent="0.4">
      <c r="G2683" s="36"/>
      <c r="FV2683" s="24"/>
    </row>
    <row r="2684" spans="7:178" x14ac:dyDescent="0.4">
      <c r="G2684" s="36"/>
      <c r="FV2684" s="24"/>
    </row>
    <row r="2685" spans="7:178" x14ac:dyDescent="0.4">
      <c r="G2685" s="36"/>
      <c r="FV2685" s="24"/>
    </row>
    <row r="2686" spans="7:178" x14ac:dyDescent="0.4">
      <c r="G2686" s="36"/>
      <c r="FV2686" s="24"/>
    </row>
    <row r="2687" spans="7:178" x14ac:dyDescent="0.4">
      <c r="G2687" s="36"/>
      <c r="FV2687" s="24"/>
    </row>
    <row r="2688" spans="7:178" x14ac:dyDescent="0.4">
      <c r="G2688" s="36"/>
      <c r="FV2688" s="24"/>
    </row>
    <row r="2689" spans="7:178" x14ac:dyDescent="0.4">
      <c r="G2689" s="36"/>
      <c r="FV2689" s="24"/>
    </row>
    <row r="2690" spans="7:178" x14ac:dyDescent="0.4">
      <c r="G2690" s="36"/>
      <c r="FV2690" s="24"/>
    </row>
    <row r="2691" spans="7:178" x14ac:dyDescent="0.4">
      <c r="G2691" s="36"/>
      <c r="FV2691" s="24"/>
    </row>
    <row r="2692" spans="7:178" x14ac:dyDescent="0.4">
      <c r="G2692" s="36"/>
      <c r="FV2692" s="24"/>
    </row>
    <row r="2693" spans="7:178" x14ac:dyDescent="0.4">
      <c r="G2693" s="36"/>
      <c r="FV2693" s="24"/>
    </row>
    <row r="2694" spans="7:178" x14ac:dyDescent="0.4">
      <c r="G2694" s="36"/>
      <c r="FV2694" s="24"/>
    </row>
    <row r="2695" spans="7:178" x14ac:dyDescent="0.4">
      <c r="G2695" s="36"/>
      <c r="FV2695" s="24"/>
    </row>
    <row r="2696" spans="7:178" x14ac:dyDescent="0.4">
      <c r="G2696" s="36"/>
      <c r="FV2696" s="24"/>
    </row>
    <row r="2697" spans="7:178" x14ac:dyDescent="0.4">
      <c r="G2697" s="36"/>
      <c r="FV2697" s="24"/>
    </row>
    <row r="2698" spans="7:178" x14ac:dyDescent="0.4">
      <c r="G2698" s="36"/>
      <c r="FV2698" s="24"/>
    </row>
    <row r="2699" spans="7:178" x14ac:dyDescent="0.4">
      <c r="G2699" s="36"/>
      <c r="FV2699" s="24"/>
    </row>
    <row r="2700" spans="7:178" x14ac:dyDescent="0.4">
      <c r="G2700" s="36"/>
      <c r="FV2700" s="24"/>
    </row>
    <row r="2701" spans="7:178" x14ac:dyDescent="0.4">
      <c r="G2701" s="36"/>
      <c r="FV2701" s="24"/>
    </row>
    <row r="2702" spans="7:178" x14ac:dyDescent="0.4">
      <c r="G2702" s="36"/>
      <c r="FV2702" s="24"/>
    </row>
    <row r="2703" spans="7:178" x14ac:dyDescent="0.4">
      <c r="G2703" s="36"/>
      <c r="FV2703" s="24"/>
    </row>
    <row r="2704" spans="7:178" x14ac:dyDescent="0.4">
      <c r="G2704" s="36"/>
      <c r="FV2704" s="24"/>
    </row>
    <row r="2705" spans="7:178" x14ac:dyDescent="0.4">
      <c r="G2705" s="36"/>
      <c r="FV2705" s="24"/>
    </row>
    <row r="2706" spans="7:178" x14ac:dyDescent="0.4">
      <c r="G2706" s="36"/>
      <c r="FV2706" s="24"/>
    </row>
    <row r="2707" spans="7:178" x14ac:dyDescent="0.4">
      <c r="G2707" s="36"/>
      <c r="FV2707" s="24"/>
    </row>
    <row r="2708" spans="7:178" x14ac:dyDescent="0.4">
      <c r="G2708" s="36"/>
      <c r="FV2708" s="24"/>
    </row>
    <row r="2709" spans="7:178" x14ac:dyDescent="0.4">
      <c r="G2709" s="36"/>
      <c r="FV2709" s="24"/>
    </row>
    <row r="2710" spans="7:178" x14ac:dyDescent="0.4">
      <c r="G2710" s="36"/>
      <c r="FV2710" s="24"/>
    </row>
    <row r="2711" spans="7:178" x14ac:dyDescent="0.4">
      <c r="G2711" s="36"/>
      <c r="FV2711" s="24"/>
    </row>
    <row r="2712" spans="7:178" x14ac:dyDescent="0.4">
      <c r="G2712" s="36"/>
      <c r="FV2712" s="24"/>
    </row>
    <row r="2713" spans="7:178" x14ac:dyDescent="0.4">
      <c r="G2713" s="36"/>
      <c r="FV2713" s="24"/>
    </row>
    <row r="2714" spans="7:178" x14ac:dyDescent="0.4">
      <c r="G2714" s="36"/>
      <c r="FV2714" s="24"/>
    </row>
    <row r="2715" spans="7:178" x14ac:dyDescent="0.4">
      <c r="G2715" s="36"/>
      <c r="FV2715" s="24"/>
    </row>
    <row r="2716" spans="7:178" x14ac:dyDescent="0.4">
      <c r="G2716" s="36"/>
      <c r="FV2716" s="24"/>
    </row>
    <row r="2717" spans="7:178" x14ac:dyDescent="0.4">
      <c r="G2717" s="36"/>
      <c r="FV2717" s="24"/>
    </row>
    <row r="2718" spans="7:178" x14ac:dyDescent="0.4">
      <c r="G2718" s="36"/>
      <c r="FV2718" s="24"/>
    </row>
    <row r="2719" spans="7:178" x14ac:dyDescent="0.4">
      <c r="G2719" s="36"/>
      <c r="FV2719" s="24"/>
    </row>
    <row r="2720" spans="7:178" x14ac:dyDescent="0.4">
      <c r="G2720" s="36"/>
      <c r="FV2720" s="24"/>
    </row>
    <row r="2721" spans="7:178" x14ac:dyDescent="0.4">
      <c r="G2721" s="36"/>
      <c r="FV2721" s="24"/>
    </row>
    <row r="2722" spans="7:178" x14ac:dyDescent="0.4">
      <c r="G2722" s="36"/>
      <c r="FV2722" s="24"/>
    </row>
    <row r="2723" spans="7:178" x14ac:dyDescent="0.4">
      <c r="G2723" s="36"/>
      <c r="FV2723" s="24"/>
    </row>
    <row r="2724" spans="7:178" x14ac:dyDescent="0.4">
      <c r="G2724" s="36"/>
      <c r="FV2724" s="24"/>
    </row>
    <row r="2725" spans="7:178" x14ac:dyDescent="0.4">
      <c r="G2725" s="36"/>
      <c r="FV2725" s="24"/>
    </row>
    <row r="2726" spans="7:178" x14ac:dyDescent="0.4">
      <c r="G2726" s="36"/>
      <c r="FV2726" s="24"/>
    </row>
    <row r="2727" spans="7:178" x14ac:dyDescent="0.4">
      <c r="G2727" s="36"/>
      <c r="FV2727" s="24"/>
    </row>
    <row r="2728" spans="7:178" x14ac:dyDescent="0.4">
      <c r="G2728" s="36"/>
      <c r="FV2728" s="24"/>
    </row>
    <row r="2729" spans="7:178" x14ac:dyDescent="0.4">
      <c r="G2729" s="36"/>
      <c r="FV2729" s="24"/>
    </row>
    <row r="2730" spans="7:178" x14ac:dyDescent="0.4">
      <c r="G2730" s="36"/>
      <c r="FV2730" s="24"/>
    </row>
    <row r="2731" spans="7:178" x14ac:dyDescent="0.4">
      <c r="G2731" s="36"/>
      <c r="FV2731" s="24"/>
    </row>
    <row r="2732" spans="7:178" x14ac:dyDescent="0.4">
      <c r="G2732" s="36"/>
      <c r="FV2732" s="24"/>
    </row>
    <row r="2733" spans="7:178" x14ac:dyDescent="0.4">
      <c r="G2733" s="36"/>
      <c r="FV2733" s="24"/>
    </row>
    <row r="2734" spans="7:178" x14ac:dyDescent="0.4">
      <c r="G2734" s="36"/>
      <c r="FV2734" s="24"/>
    </row>
    <row r="2735" spans="7:178" x14ac:dyDescent="0.4">
      <c r="G2735" s="36"/>
      <c r="FV2735" s="24"/>
    </row>
    <row r="2736" spans="7:178" x14ac:dyDescent="0.4">
      <c r="G2736" s="36"/>
      <c r="FV2736" s="24"/>
    </row>
    <row r="2737" spans="7:178" x14ac:dyDescent="0.4">
      <c r="G2737" s="36"/>
      <c r="FV2737" s="24"/>
    </row>
    <row r="2738" spans="7:178" x14ac:dyDescent="0.4">
      <c r="G2738" s="36"/>
      <c r="FV2738" s="24"/>
    </row>
    <row r="2739" spans="7:178" x14ac:dyDescent="0.4">
      <c r="G2739" s="36"/>
      <c r="FV2739" s="24"/>
    </row>
    <row r="2740" spans="7:178" x14ac:dyDescent="0.4">
      <c r="G2740" s="36"/>
      <c r="FV2740" s="24"/>
    </row>
    <row r="2741" spans="7:178" x14ac:dyDescent="0.4">
      <c r="G2741" s="36"/>
      <c r="FV2741" s="24"/>
    </row>
    <row r="2742" spans="7:178" x14ac:dyDescent="0.4">
      <c r="G2742" s="36"/>
      <c r="FV2742" s="24"/>
    </row>
    <row r="2743" spans="7:178" x14ac:dyDescent="0.4">
      <c r="G2743" s="36"/>
      <c r="FV2743" s="24"/>
    </row>
    <row r="2744" spans="7:178" x14ac:dyDescent="0.4">
      <c r="G2744" s="36"/>
      <c r="FV2744" s="24"/>
    </row>
    <row r="2745" spans="7:178" x14ac:dyDescent="0.4">
      <c r="G2745" s="36"/>
      <c r="FV2745" s="24"/>
    </row>
    <row r="2746" spans="7:178" x14ac:dyDescent="0.4">
      <c r="G2746" s="36"/>
      <c r="FV2746" s="24"/>
    </row>
    <row r="2747" spans="7:178" x14ac:dyDescent="0.4">
      <c r="G2747" s="36"/>
      <c r="FV2747" s="24"/>
    </row>
    <row r="2748" spans="7:178" x14ac:dyDescent="0.4">
      <c r="G2748" s="36"/>
      <c r="FV2748" s="24"/>
    </row>
    <row r="2749" spans="7:178" x14ac:dyDescent="0.4">
      <c r="G2749" s="36"/>
      <c r="FV2749" s="24"/>
    </row>
    <row r="2750" spans="7:178" x14ac:dyDescent="0.4">
      <c r="G2750" s="36"/>
      <c r="FV2750" s="24"/>
    </row>
    <row r="2751" spans="7:178" x14ac:dyDescent="0.4">
      <c r="G2751" s="36"/>
      <c r="FV2751" s="24"/>
    </row>
    <row r="2752" spans="7:178" x14ac:dyDescent="0.4">
      <c r="G2752" s="36"/>
      <c r="FV2752" s="24"/>
    </row>
    <row r="2753" spans="7:178" x14ac:dyDescent="0.4">
      <c r="G2753" s="36"/>
      <c r="FV2753" s="24"/>
    </row>
    <row r="2754" spans="7:178" x14ac:dyDescent="0.4">
      <c r="G2754" s="36"/>
      <c r="FV2754" s="24"/>
    </row>
    <row r="2755" spans="7:178" x14ac:dyDescent="0.4">
      <c r="G2755" s="36"/>
      <c r="FV2755" s="24"/>
    </row>
    <row r="2756" spans="7:178" x14ac:dyDescent="0.4">
      <c r="G2756" s="36"/>
      <c r="FV2756" s="24"/>
    </row>
    <row r="2757" spans="7:178" x14ac:dyDescent="0.4">
      <c r="G2757" s="36"/>
      <c r="FV2757" s="24"/>
    </row>
    <row r="2758" spans="7:178" x14ac:dyDescent="0.4">
      <c r="G2758" s="36"/>
      <c r="FV2758" s="24"/>
    </row>
    <row r="2759" spans="7:178" x14ac:dyDescent="0.4">
      <c r="G2759" s="36"/>
      <c r="FV2759" s="24"/>
    </row>
    <row r="2760" spans="7:178" x14ac:dyDescent="0.4">
      <c r="G2760" s="36"/>
      <c r="FV2760" s="24"/>
    </row>
    <row r="2761" spans="7:178" x14ac:dyDescent="0.4">
      <c r="G2761" s="36"/>
      <c r="FV2761" s="24"/>
    </row>
    <row r="2762" spans="7:178" x14ac:dyDescent="0.4">
      <c r="G2762" s="36"/>
      <c r="FV2762" s="24"/>
    </row>
    <row r="2763" spans="7:178" x14ac:dyDescent="0.4">
      <c r="G2763" s="36"/>
      <c r="FV2763" s="24"/>
    </row>
    <row r="2764" spans="7:178" x14ac:dyDescent="0.4">
      <c r="G2764" s="36"/>
      <c r="FV2764" s="24"/>
    </row>
    <row r="2765" spans="7:178" x14ac:dyDescent="0.4">
      <c r="G2765" s="36"/>
      <c r="FV2765" s="24"/>
    </row>
    <row r="2766" spans="7:178" x14ac:dyDescent="0.4">
      <c r="G2766" s="36"/>
      <c r="FV2766" s="24"/>
    </row>
    <row r="2767" spans="7:178" x14ac:dyDescent="0.4">
      <c r="G2767" s="36"/>
      <c r="FV2767" s="24"/>
    </row>
    <row r="2768" spans="7:178" x14ac:dyDescent="0.4">
      <c r="G2768" s="36"/>
      <c r="FV2768" s="24"/>
    </row>
    <row r="2769" spans="7:178" x14ac:dyDescent="0.4">
      <c r="G2769" s="36"/>
      <c r="FV2769" s="24"/>
    </row>
    <row r="2770" spans="7:178" x14ac:dyDescent="0.4">
      <c r="G2770" s="36"/>
      <c r="FV2770" s="24"/>
    </row>
    <row r="2771" spans="7:178" x14ac:dyDescent="0.4">
      <c r="G2771" s="36"/>
      <c r="FV2771" s="24"/>
    </row>
    <row r="2772" spans="7:178" x14ac:dyDescent="0.4">
      <c r="G2772" s="36"/>
      <c r="FV2772" s="24"/>
    </row>
    <row r="2773" spans="7:178" x14ac:dyDescent="0.4">
      <c r="G2773" s="36"/>
      <c r="FV2773" s="24"/>
    </row>
    <row r="2774" spans="7:178" x14ac:dyDescent="0.4">
      <c r="G2774" s="36"/>
      <c r="FV2774" s="24"/>
    </row>
    <row r="2775" spans="7:178" x14ac:dyDescent="0.4">
      <c r="G2775" s="36"/>
      <c r="FV2775" s="24"/>
    </row>
    <row r="2776" spans="7:178" x14ac:dyDescent="0.4">
      <c r="G2776" s="36"/>
      <c r="FV2776" s="24"/>
    </row>
    <row r="2777" spans="7:178" x14ac:dyDescent="0.4">
      <c r="G2777" s="36"/>
      <c r="FV2777" s="24"/>
    </row>
    <row r="2778" spans="7:178" x14ac:dyDescent="0.4">
      <c r="G2778" s="36"/>
      <c r="FV2778" s="24"/>
    </row>
    <row r="2779" spans="7:178" x14ac:dyDescent="0.4">
      <c r="G2779" s="36"/>
      <c r="FV2779" s="24"/>
    </row>
    <row r="2780" spans="7:178" x14ac:dyDescent="0.4">
      <c r="G2780" s="36"/>
      <c r="FV2780" s="24"/>
    </row>
    <row r="2781" spans="7:178" x14ac:dyDescent="0.4">
      <c r="G2781" s="36"/>
      <c r="FV2781" s="24"/>
    </row>
    <row r="2782" spans="7:178" x14ac:dyDescent="0.4">
      <c r="G2782" s="36"/>
      <c r="FV2782" s="24"/>
    </row>
    <row r="2783" spans="7:178" x14ac:dyDescent="0.4">
      <c r="G2783" s="36"/>
      <c r="FV2783" s="24"/>
    </row>
    <row r="2784" spans="7:178" x14ac:dyDescent="0.4">
      <c r="G2784" s="36"/>
      <c r="FV2784" s="24"/>
    </row>
    <row r="2785" spans="7:178" x14ac:dyDescent="0.4">
      <c r="G2785" s="36"/>
      <c r="FV2785" s="24"/>
    </row>
    <row r="2786" spans="7:178" x14ac:dyDescent="0.4">
      <c r="G2786" s="36"/>
      <c r="FV2786" s="24"/>
    </row>
    <row r="2787" spans="7:178" x14ac:dyDescent="0.4">
      <c r="G2787" s="36"/>
      <c r="FV2787" s="24"/>
    </row>
    <row r="2788" spans="7:178" x14ac:dyDescent="0.4">
      <c r="G2788" s="36"/>
      <c r="FV2788" s="24"/>
    </row>
    <row r="2789" spans="7:178" x14ac:dyDescent="0.4">
      <c r="G2789" s="36"/>
      <c r="FV2789" s="24"/>
    </row>
    <row r="2790" spans="7:178" x14ac:dyDescent="0.4">
      <c r="G2790" s="36"/>
      <c r="FV2790" s="24"/>
    </row>
    <row r="2791" spans="7:178" x14ac:dyDescent="0.4">
      <c r="G2791" s="36"/>
      <c r="FV2791" s="24"/>
    </row>
    <row r="2792" spans="7:178" x14ac:dyDescent="0.4">
      <c r="G2792" s="36"/>
      <c r="FV2792" s="24"/>
    </row>
    <row r="2793" spans="7:178" x14ac:dyDescent="0.4">
      <c r="G2793" s="36"/>
      <c r="FV2793" s="24"/>
    </row>
    <row r="2794" spans="7:178" x14ac:dyDescent="0.4">
      <c r="G2794" s="36"/>
      <c r="FV2794" s="24"/>
    </row>
    <row r="2795" spans="7:178" x14ac:dyDescent="0.4">
      <c r="G2795" s="36"/>
      <c r="FV2795" s="24"/>
    </row>
    <row r="2796" spans="7:178" x14ac:dyDescent="0.4">
      <c r="G2796" s="36"/>
      <c r="FV2796" s="24"/>
    </row>
    <row r="2797" spans="7:178" x14ac:dyDescent="0.4">
      <c r="G2797" s="36"/>
      <c r="FV2797" s="24"/>
    </row>
    <row r="2798" spans="7:178" x14ac:dyDescent="0.4">
      <c r="G2798" s="36"/>
      <c r="FV2798" s="24"/>
    </row>
    <row r="2799" spans="7:178" x14ac:dyDescent="0.4">
      <c r="G2799" s="36"/>
      <c r="FV2799" s="24"/>
    </row>
    <row r="2800" spans="7:178" x14ac:dyDescent="0.4">
      <c r="G2800" s="36"/>
      <c r="FV2800" s="24"/>
    </row>
    <row r="2801" spans="7:178" x14ac:dyDescent="0.4">
      <c r="G2801" s="36"/>
      <c r="FV2801" s="24"/>
    </row>
    <row r="2802" spans="7:178" x14ac:dyDescent="0.4">
      <c r="G2802" s="36"/>
      <c r="FV2802" s="24"/>
    </row>
    <row r="2803" spans="7:178" x14ac:dyDescent="0.4">
      <c r="G2803" s="36"/>
      <c r="FV2803" s="24"/>
    </row>
    <row r="2804" spans="7:178" x14ac:dyDescent="0.4">
      <c r="G2804" s="36"/>
      <c r="FV2804" s="24"/>
    </row>
    <row r="2805" spans="7:178" x14ac:dyDescent="0.4">
      <c r="G2805" s="36"/>
      <c r="FV2805" s="24"/>
    </row>
    <row r="2806" spans="7:178" x14ac:dyDescent="0.4">
      <c r="G2806" s="36"/>
      <c r="FV2806" s="24"/>
    </row>
    <row r="2807" spans="7:178" x14ac:dyDescent="0.4">
      <c r="G2807" s="36"/>
      <c r="FV2807" s="24"/>
    </row>
    <row r="2808" spans="7:178" x14ac:dyDescent="0.4">
      <c r="G2808" s="36"/>
      <c r="FV2808" s="24"/>
    </row>
    <row r="2809" spans="7:178" x14ac:dyDescent="0.4">
      <c r="G2809" s="36"/>
      <c r="FV2809" s="24"/>
    </row>
    <row r="2810" spans="7:178" x14ac:dyDescent="0.4">
      <c r="G2810" s="36"/>
      <c r="FV2810" s="24"/>
    </row>
    <row r="2811" spans="7:178" x14ac:dyDescent="0.4">
      <c r="G2811" s="36"/>
      <c r="FV2811" s="24"/>
    </row>
    <row r="2812" spans="7:178" x14ac:dyDescent="0.4">
      <c r="G2812" s="36"/>
      <c r="FV2812" s="24"/>
    </row>
    <row r="2813" spans="7:178" x14ac:dyDescent="0.4">
      <c r="G2813" s="36"/>
      <c r="FV2813" s="24"/>
    </row>
    <row r="2814" spans="7:178" x14ac:dyDescent="0.4">
      <c r="G2814" s="36"/>
      <c r="FV2814" s="24"/>
    </row>
    <row r="2815" spans="7:178" x14ac:dyDescent="0.4">
      <c r="G2815" s="36"/>
      <c r="FV2815" s="24"/>
    </row>
    <row r="2816" spans="7:178" x14ac:dyDescent="0.4">
      <c r="G2816" s="36"/>
      <c r="FV2816" s="24"/>
    </row>
    <row r="2817" spans="7:178" x14ac:dyDescent="0.4">
      <c r="G2817" s="36"/>
      <c r="FV2817" s="24"/>
    </row>
    <row r="2818" spans="7:178" x14ac:dyDescent="0.4">
      <c r="G2818" s="36"/>
      <c r="FV2818" s="24"/>
    </row>
    <row r="2819" spans="7:178" x14ac:dyDescent="0.4">
      <c r="G2819" s="36"/>
      <c r="FV2819" s="24"/>
    </row>
    <row r="2820" spans="7:178" x14ac:dyDescent="0.4">
      <c r="G2820" s="36"/>
      <c r="FV2820" s="24"/>
    </row>
    <row r="2821" spans="7:178" x14ac:dyDescent="0.4">
      <c r="G2821" s="36"/>
      <c r="FV2821" s="24"/>
    </row>
    <row r="2822" spans="7:178" x14ac:dyDescent="0.4">
      <c r="G2822" s="36"/>
      <c r="FV2822" s="24"/>
    </row>
    <row r="2823" spans="7:178" x14ac:dyDescent="0.4">
      <c r="G2823" s="36"/>
      <c r="FV2823" s="24"/>
    </row>
    <row r="2824" spans="7:178" x14ac:dyDescent="0.4">
      <c r="G2824" s="36"/>
      <c r="FV2824" s="24"/>
    </row>
    <row r="2825" spans="7:178" x14ac:dyDescent="0.4">
      <c r="G2825" s="36"/>
      <c r="FV2825" s="24"/>
    </row>
    <row r="2826" spans="7:178" x14ac:dyDescent="0.4">
      <c r="G2826" s="36"/>
      <c r="FV2826" s="24"/>
    </row>
    <row r="2827" spans="7:178" x14ac:dyDescent="0.4">
      <c r="G2827" s="36"/>
      <c r="FV2827" s="24"/>
    </row>
    <row r="2828" spans="7:178" x14ac:dyDescent="0.4">
      <c r="G2828" s="36"/>
      <c r="FV2828" s="24"/>
    </row>
    <row r="2829" spans="7:178" x14ac:dyDescent="0.4">
      <c r="G2829" s="36"/>
      <c r="FV2829" s="24"/>
    </row>
    <row r="2830" spans="7:178" x14ac:dyDescent="0.4">
      <c r="G2830" s="36"/>
      <c r="FV2830" s="24"/>
    </row>
    <row r="2831" spans="7:178" x14ac:dyDescent="0.4">
      <c r="G2831" s="36"/>
      <c r="FV2831" s="24"/>
    </row>
    <row r="2832" spans="7:178" x14ac:dyDescent="0.4">
      <c r="G2832" s="36"/>
      <c r="FV2832" s="24"/>
    </row>
    <row r="2833" spans="7:178" x14ac:dyDescent="0.4">
      <c r="G2833" s="36"/>
      <c r="FV2833" s="24"/>
    </row>
    <row r="2834" spans="7:178" x14ac:dyDescent="0.4">
      <c r="G2834" s="36"/>
      <c r="FV2834" s="24"/>
    </row>
    <row r="2835" spans="7:178" x14ac:dyDescent="0.4">
      <c r="G2835" s="36"/>
      <c r="FV2835" s="24"/>
    </row>
    <row r="2836" spans="7:178" x14ac:dyDescent="0.4">
      <c r="G2836" s="36"/>
      <c r="FV2836" s="24"/>
    </row>
    <row r="2837" spans="7:178" x14ac:dyDescent="0.4">
      <c r="G2837" s="36"/>
      <c r="FV2837" s="24"/>
    </row>
    <row r="2838" spans="7:178" x14ac:dyDescent="0.4">
      <c r="G2838" s="36"/>
      <c r="FV2838" s="24"/>
    </row>
    <row r="2839" spans="7:178" x14ac:dyDescent="0.4">
      <c r="G2839" s="36"/>
      <c r="FV2839" s="24"/>
    </row>
    <row r="2840" spans="7:178" x14ac:dyDescent="0.4">
      <c r="G2840" s="36"/>
      <c r="FV2840" s="24"/>
    </row>
    <row r="2841" spans="7:178" x14ac:dyDescent="0.4">
      <c r="G2841" s="36"/>
      <c r="FV2841" s="24"/>
    </row>
    <row r="2842" spans="7:178" x14ac:dyDescent="0.4">
      <c r="G2842" s="36"/>
      <c r="FV2842" s="24"/>
    </row>
    <row r="2843" spans="7:178" x14ac:dyDescent="0.4">
      <c r="G2843" s="36"/>
      <c r="FV2843" s="24"/>
    </row>
    <row r="2844" spans="7:178" x14ac:dyDescent="0.4">
      <c r="G2844" s="36"/>
      <c r="FV2844" s="24"/>
    </row>
    <row r="2845" spans="7:178" x14ac:dyDescent="0.4">
      <c r="G2845" s="36"/>
      <c r="FV2845" s="24"/>
    </row>
    <row r="2846" spans="7:178" x14ac:dyDescent="0.4">
      <c r="G2846" s="36"/>
      <c r="FV2846" s="24"/>
    </row>
    <row r="2847" spans="7:178" x14ac:dyDescent="0.4">
      <c r="G2847" s="36"/>
      <c r="FV2847" s="24"/>
    </row>
    <row r="2848" spans="7:178" x14ac:dyDescent="0.4">
      <c r="G2848" s="36"/>
      <c r="FV2848" s="24"/>
    </row>
    <row r="2849" spans="7:178" x14ac:dyDescent="0.4">
      <c r="G2849" s="36"/>
      <c r="FV2849" s="24"/>
    </row>
    <row r="2850" spans="7:178" x14ac:dyDescent="0.4">
      <c r="G2850" s="36"/>
      <c r="FV2850" s="24"/>
    </row>
    <row r="2851" spans="7:178" x14ac:dyDescent="0.4">
      <c r="G2851" s="36"/>
      <c r="FV2851" s="24"/>
    </row>
    <row r="2852" spans="7:178" x14ac:dyDescent="0.4">
      <c r="G2852" s="36"/>
      <c r="FV2852" s="24"/>
    </row>
    <row r="2853" spans="7:178" x14ac:dyDescent="0.4">
      <c r="G2853" s="36"/>
      <c r="FV2853" s="24"/>
    </row>
    <row r="2854" spans="7:178" x14ac:dyDescent="0.4">
      <c r="G2854" s="36"/>
      <c r="FV2854" s="24"/>
    </row>
    <row r="2855" spans="7:178" x14ac:dyDescent="0.4">
      <c r="G2855" s="36"/>
      <c r="FV2855" s="24"/>
    </row>
    <row r="2856" spans="7:178" x14ac:dyDescent="0.4">
      <c r="G2856" s="36"/>
      <c r="FV2856" s="24"/>
    </row>
    <row r="2857" spans="7:178" x14ac:dyDescent="0.4">
      <c r="G2857" s="36"/>
      <c r="FV2857" s="24"/>
    </row>
    <row r="2858" spans="7:178" x14ac:dyDescent="0.4">
      <c r="G2858" s="36"/>
      <c r="FV2858" s="24"/>
    </row>
    <row r="2859" spans="7:178" x14ac:dyDescent="0.4">
      <c r="G2859" s="36"/>
      <c r="FV2859" s="24"/>
    </row>
    <row r="2860" spans="7:178" x14ac:dyDescent="0.4">
      <c r="G2860" s="36"/>
      <c r="FV2860" s="24"/>
    </row>
    <row r="2861" spans="7:178" x14ac:dyDescent="0.4">
      <c r="G2861" s="36"/>
      <c r="FV2861" s="24"/>
    </row>
    <row r="2862" spans="7:178" x14ac:dyDescent="0.4">
      <c r="G2862" s="36"/>
      <c r="FV2862" s="24"/>
    </row>
    <row r="2863" spans="7:178" x14ac:dyDescent="0.4">
      <c r="G2863" s="36"/>
      <c r="FV2863" s="24"/>
    </row>
    <row r="2864" spans="7:178" x14ac:dyDescent="0.4">
      <c r="G2864" s="36"/>
      <c r="FV2864" s="24"/>
    </row>
    <row r="2865" spans="7:178" x14ac:dyDescent="0.4">
      <c r="G2865" s="36"/>
      <c r="FV2865" s="24"/>
    </row>
    <row r="2866" spans="7:178" x14ac:dyDescent="0.4">
      <c r="G2866" s="36"/>
      <c r="FV2866" s="24"/>
    </row>
    <row r="2867" spans="7:178" x14ac:dyDescent="0.4">
      <c r="G2867" s="36"/>
      <c r="FV2867" s="24"/>
    </row>
    <row r="2868" spans="7:178" x14ac:dyDescent="0.4">
      <c r="G2868" s="36"/>
      <c r="FV2868" s="24"/>
    </row>
    <row r="2869" spans="7:178" x14ac:dyDescent="0.4">
      <c r="G2869" s="36"/>
      <c r="FV2869" s="24"/>
    </row>
    <row r="2870" spans="7:178" x14ac:dyDescent="0.4">
      <c r="G2870" s="36"/>
      <c r="FV2870" s="24"/>
    </row>
    <row r="2871" spans="7:178" x14ac:dyDescent="0.4">
      <c r="G2871" s="36"/>
      <c r="FV2871" s="24"/>
    </row>
    <row r="2872" spans="7:178" x14ac:dyDescent="0.4">
      <c r="G2872" s="36"/>
      <c r="FV2872" s="24"/>
    </row>
    <row r="2873" spans="7:178" x14ac:dyDescent="0.4">
      <c r="G2873" s="36"/>
      <c r="FV2873" s="24"/>
    </row>
    <row r="2874" spans="7:178" x14ac:dyDescent="0.4">
      <c r="G2874" s="36"/>
      <c r="FV2874" s="24"/>
    </row>
    <row r="2875" spans="7:178" x14ac:dyDescent="0.4">
      <c r="G2875" s="36"/>
      <c r="FV2875" s="24"/>
    </row>
    <row r="2876" spans="7:178" x14ac:dyDescent="0.4">
      <c r="G2876" s="36"/>
      <c r="FV2876" s="24"/>
    </row>
    <row r="2877" spans="7:178" x14ac:dyDescent="0.4">
      <c r="G2877" s="36"/>
      <c r="FV2877" s="24"/>
    </row>
    <row r="2878" spans="7:178" x14ac:dyDescent="0.4">
      <c r="G2878" s="36"/>
      <c r="FV2878" s="24"/>
    </row>
    <row r="2879" spans="7:178" x14ac:dyDescent="0.4">
      <c r="G2879" s="36"/>
      <c r="FV2879" s="24"/>
    </row>
    <row r="2880" spans="7:178" x14ac:dyDescent="0.4">
      <c r="G2880" s="36"/>
      <c r="FV2880" s="24"/>
    </row>
    <row r="2881" spans="7:178" x14ac:dyDescent="0.4">
      <c r="G2881" s="36"/>
      <c r="FV2881" s="24"/>
    </row>
    <row r="2882" spans="7:178" x14ac:dyDescent="0.4">
      <c r="G2882" s="36"/>
      <c r="FV2882" s="24"/>
    </row>
    <row r="2883" spans="7:178" x14ac:dyDescent="0.4">
      <c r="G2883" s="36"/>
      <c r="FV2883" s="24"/>
    </row>
    <row r="2884" spans="7:178" x14ac:dyDescent="0.4">
      <c r="G2884" s="36"/>
      <c r="FV2884" s="24"/>
    </row>
    <row r="2885" spans="7:178" x14ac:dyDescent="0.4">
      <c r="G2885" s="36"/>
      <c r="FV2885" s="24"/>
    </row>
    <row r="2886" spans="7:178" x14ac:dyDescent="0.4">
      <c r="G2886" s="36"/>
      <c r="FV2886" s="24"/>
    </row>
    <row r="2887" spans="7:178" x14ac:dyDescent="0.4">
      <c r="G2887" s="36"/>
      <c r="FV2887" s="24"/>
    </row>
    <row r="2888" spans="7:178" x14ac:dyDescent="0.4">
      <c r="G2888" s="36"/>
      <c r="FV2888" s="24"/>
    </row>
    <row r="2889" spans="7:178" x14ac:dyDescent="0.4">
      <c r="G2889" s="36"/>
      <c r="FV2889" s="24"/>
    </row>
    <row r="2890" spans="7:178" x14ac:dyDescent="0.4">
      <c r="G2890" s="36"/>
      <c r="FV2890" s="24"/>
    </row>
    <row r="2891" spans="7:178" x14ac:dyDescent="0.4">
      <c r="G2891" s="36"/>
      <c r="FV2891" s="24"/>
    </row>
    <row r="2892" spans="7:178" x14ac:dyDescent="0.4">
      <c r="G2892" s="36"/>
      <c r="FV2892" s="24"/>
    </row>
    <row r="2893" spans="7:178" x14ac:dyDescent="0.4">
      <c r="G2893" s="36"/>
      <c r="FV2893" s="24"/>
    </row>
    <row r="2894" spans="7:178" x14ac:dyDescent="0.4">
      <c r="G2894" s="36"/>
      <c r="FV2894" s="24"/>
    </row>
    <row r="2895" spans="7:178" x14ac:dyDescent="0.4">
      <c r="G2895" s="36"/>
      <c r="FV2895" s="24"/>
    </row>
    <row r="2896" spans="7:178" x14ac:dyDescent="0.4">
      <c r="G2896" s="36"/>
      <c r="FV2896" s="24"/>
    </row>
    <row r="2897" spans="7:178" x14ac:dyDescent="0.4">
      <c r="G2897" s="36"/>
      <c r="FV2897" s="24"/>
    </row>
    <row r="2898" spans="7:178" x14ac:dyDescent="0.4">
      <c r="G2898" s="36"/>
      <c r="FV2898" s="24"/>
    </row>
    <row r="2899" spans="7:178" x14ac:dyDescent="0.4">
      <c r="G2899" s="36"/>
      <c r="FV2899" s="24"/>
    </row>
    <row r="2900" spans="7:178" x14ac:dyDescent="0.4">
      <c r="G2900" s="36"/>
      <c r="FV2900" s="24"/>
    </row>
    <row r="2901" spans="7:178" x14ac:dyDescent="0.4">
      <c r="G2901" s="36"/>
      <c r="FV2901" s="24"/>
    </row>
    <row r="2902" spans="7:178" x14ac:dyDescent="0.4">
      <c r="G2902" s="36"/>
      <c r="FV2902" s="24"/>
    </row>
    <row r="2903" spans="7:178" x14ac:dyDescent="0.4">
      <c r="G2903" s="36"/>
      <c r="FV2903" s="24"/>
    </row>
    <row r="2904" spans="7:178" x14ac:dyDescent="0.4">
      <c r="G2904" s="36"/>
      <c r="FV2904" s="24"/>
    </row>
    <row r="2905" spans="7:178" x14ac:dyDescent="0.4">
      <c r="G2905" s="36"/>
      <c r="FV2905" s="24"/>
    </row>
    <row r="2906" spans="7:178" x14ac:dyDescent="0.4">
      <c r="G2906" s="36"/>
      <c r="FV2906" s="24"/>
    </row>
    <row r="2907" spans="7:178" x14ac:dyDescent="0.4">
      <c r="G2907" s="36"/>
      <c r="FV2907" s="24"/>
    </row>
    <row r="2908" spans="7:178" x14ac:dyDescent="0.4">
      <c r="G2908" s="36"/>
      <c r="FV2908" s="24"/>
    </row>
    <row r="2909" spans="7:178" x14ac:dyDescent="0.4">
      <c r="G2909" s="36"/>
      <c r="FV2909" s="24"/>
    </row>
    <row r="2910" spans="7:178" x14ac:dyDescent="0.4">
      <c r="G2910" s="36"/>
      <c r="FV2910" s="24"/>
    </row>
    <row r="2911" spans="7:178" x14ac:dyDescent="0.4">
      <c r="G2911" s="36"/>
      <c r="FV2911" s="24"/>
    </row>
    <row r="2912" spans="7:178" x14ac:dyDescent="0.4">
      <c r="G2912" s="36"/>
      <c r="FV2912" s="24"/>
    </row>
    <row r="2913" spans="7:178" x14ac:dyDescent="0.4">
      <c r="G2913" s="36"/>
      <c r="FV2913" s="24"/>
    </row>
    <row r="2914" spans="7:178" x14ac:dyDescent="0.4">
      <c r="G2914" s="36"/>
      <c r="FV2914" s="24"/>
    </row>
    <row r="2915" spans="7:178" x14ac:dyDescent="0.4">
      <c r="G2915" s="36"/>
      <c r="FV2915" s="24"/>
    </row>
    <row r="2916" spans="7:178" x14ac:dyDescent="0.4">
      <c r="G2916" s="36"/>
      <c r="FV2916" s="24"/>
    </row>
    <row r="2917" spans="7:178" x14ac:dyDescent="0.4">
      <c r="G2917" s="36"/>
      <c r="FV2917" s="24"/>
    </row>
    <row r="2918" spans="7:178" x14ac:dyDescent="0.4">
      <c r="G2918" s="36"/>
      <c r="FV2918" s="24"/>
    </row>
    <row r="2919" spans="7:178" x14ac:dyDescent="0.4">
      <c r="G2919" s="36"/>
      <c r="FV2919" s="24"/>
    </row>
    <row r="2920" spans="7:178" x14ac:dyDescent="0.4">
      <c r="G2920" s="36"/>
      <c r="FV2920" s="24"/>
    </row>
    <row r="2921" spans="7:178" x14ac:dyDescent="0.4">
      <c r="G2921" s="36"/>
      <c r="FV2921" s="24"/>
    </row>
    <row r="2922" spans="7:178" x14ac:dyDescent="0.4">
      <c r="G2922" s="36"/>
      <c r="FV2922" s="24"/>
    </row>
    <row r="2923" spans="7:178" x14ac:dyDescent="0.4">
      <c r="G2923" s="36"/>
      <c r="FV2923" s="24"/>
    </row>
    <row r="2924" spans="7:178" x14ac:dyDescent="0.4">
      <c r="G2924" s="36"/>
      <c r="FV2924" s="24"/>
    </row>
    <row r="2925" spans="7:178" x14ac:dyDescent="0.4">
      <c r="G2925" s="36"/>
      <c r="FV2925" s="24"/>
    </row>
    <row r="2926" spans="7:178" x14ac:dyDescent="0.4">
      <c r="G2926" s="36"/>
      <c r="FV2926" s="24"/>
    </row>
    <row r="2927" spans="7:178" x14ac:dyDescent="0.4">
      <c r="G2927" s="36"/>
      <c r="FV2927" s="24"/>
    </row>
    <row r="2928" spans="7:178" x14ac:dyDescent="0.4">
      <c r="G2928" s="36"/>
      <c r="FV2928" s="24"/>
    </row>
    <row r="2929" spans="7:178" x14ac:dyDescent="0.4">
      <c r="G2929" s="36"/>
      <c r="FV2929" s="24"/>
    </row>
    <row r="2930" spans="7:178" x14ac:dyDescent="0.4">
      <c r="G2930" s="36"/>
      <c r="FV2930" s="24"/>
    </row>
    <row r="2931" spans="7:178" x14ac:dyDescent="0.4">
      <c r="G2931" s="36"/>
      <c r="FV2931" s="24"/>
    </row>
    <row r="2932" spans="7:178" x14ac:dyDescent="0.4">
      <c r="G2932" s="36"/>
      <c r="FV2932" s="24"/>
    </row>
    <row r="2933" spans="7:178" x14ac:dyDescent="0.4">
      <c r="G2933" s="36"/>
      <c r="FV2933" s="24"/>
    </row>
    <row r="2934" spans="7:178" x14ac:dyDescent="0.4">
      <c r="G2934" s="36"/>
      <c r="FV2934" s="24"/>
    </row>
    <row r="2935" spans="7:178" x14ac:dyDescent="0.4">
      <c r="G2935" s="36"/>
      <c r="FV2935" s="24"/>
    </row>
    <row r="2936" spans="7:178" x14ac:dyDescent="0.4">
      <c r="G2936" s="36"/>
      <c r="FV2936" s="24"/>
    </row>
    <row r="2937" spans="7:178" x14ac:dyDescent="0.4">
      <c r="G2937" s="36"/>
      <c r="FV2937" s="24"/>
    </row>
    <row r="2938" spans="7:178" x14ac:dyDescent="0.4">
      <c r="G2938" s="36"/>
      <c r="FV2938" s="24"/>
    </row>
    <row r="2939" spans="7:178" x14ac:dyDescent="0.4">
      <c r="G2939" s="36"/>
      <c r="FV2939" s="24"/>
    </row>
    <row r="2940" spans="7:178" x14ac:dyDescent="0.4">
      <c r="G2940" s="36"/>
      <c r="FV2940" s="24"/>
    </row>
    <row r="2941" spans="7:178" x14ac:dyDescent="0.4">
      <c r="G2941" s="36"/>
      <c r="FV2941" s="24"/>
    </row>
    <row r="2942" spans="7:178" x14ac:dyDescent="0.4">
      <c r="G2942" s="36"/>
      <c r="FV2942" s="24"/>
    </row>
    <row r="2943" spans="7:178" x14ac:dyDescent="0.4">
      <c r="G2943" s="36"/>
      <c r="FV2943" s="24"/>
    </row>
    <row r="2944" spans="7:178" x14ac:dyDescent="0.4">
      <c r="G2944" s="36"/>
      <c r="FV2944" s="24"/>
    </row>
    <row r="2945" spans="7:178" x14ac:dyDescent="0.4">
      <c r="G2945" s="36"/>
      <c r="FV2945" s="24"/>
    </row>
    <row r="2946" spans="7:178" x14ac:dyDescent="0.4">
      <c r="G2946" s="36"/>
      <c r="FV2946" s="24"/>
    </row>
    <row r="2947" spans="7:178" x14ac:dyDescent="0.4">
      <c r="G2947" s="36"/>
      <c r="FV2947" s="24"/>
    </row>
    <row r="2948" spans="7:178" x14ac:dyDescent="0.4">
      <c r="G2948" s="36"/>
      <c r="FV2948" s="24"/>
    </row>
    <row r="2949" spans="7:178" x14ac:dyDescent="0.4">
      <c r="G2949" s="36"/>
      <c r="FV2949" s="24"/>
    </row>
    <row r="2950" spans="7:178" x14ac:dyDescent="0.4">
      <c r="G2950" s="36"/>
      <c r="FV2950" s="24"/>
    </row>
    <row r="2951" spans="7:178" x14ac:dyDescent="0.4">
      <c r="G2951" s="36"/>
      <c r="FV2951" s="24"/>
    </row>
    <row r="2952" spans="7:178" x14ac:dyDescent="0.4">
      <c r="G2952" s="36"/>
      <c r="FV2952" s="24"/>
    </row>
    <row r="2953" spans="7:178" x14ac:dyDescent="0.4">
      <c r="G2953" s="36"/>
      <c r="FV2953" s="24"/>
    </row>
    <row r="2954" spans="7:178" x14ac:dyDescent="0.4">
      <c r="G2954" s="36"/>
      <c r="FV2954" s="24"/>
    </row>
    <row r="2955" spans="7:178" x14ac:dyDescent="0.4">
      <c r="G2955" s="36"/>
      <c r="FV2955" s="24"/>
    </row>
    <row r="2956" spans="7:178" x14ac:dyDescent="0.4">
      <c r="G2956" s="36"/>
      <c r="FV2956" s="24"/>
    </row>
    <row r="2957" spans="7:178" x14ac:dyDescent="0.4">
      <c r="G2957" s="36"/>
      <c r="FV2957" s="24"/>
    </row>
    <row r="2958" spans="7:178" x14ac:dyDescent="0.4">
      <c r="G2958" s="36"/>
      <c r="FV2958" s="24"/>
    </row>
    <row r="2959" spans="7:178" x14ac:dyDescent="0.4">
      <c r="G2959" s="36"/>
      <c r="FV2959" s="24"/>
    </row>
    <row r="2960" spans="7:178" x14ac:dyDescent="0.4">
      <c r="G2960" s="36"/>
      <c r="FV2960" s="24"/>
    </row>
    <row r="2961" spans="7:178" x14ac:dyDescent="0.4">
      <c r="G2961" s="36"/>
      <c r="FV2961" s="24"/>
    </row>
    <row r="2962" spans="7:178" x14ac:dyDescent="0.4">
      <c r="G2962" s="36"/>
      <c r="FV2962" s="24"/>
    </row>
    <row r="2963" spans="7:178" x14ac:dyDescent="0.4">
      <c r="G2963" s="36"/>
      <c r="FV2963" s="24"/>
    </row>
    <row r="2964" spans="7:178" x14ac:dyDescent="0.4">
      <c r="G2964" s="36"/>
      <c r="FV2964" s="24"/>
    </row>
    <row r="2965" spans="7:178" x14ac:dyDescent="0.4">
      <c r="G2965" s="36"/>
      <c r="FV2965" s="24"/>
    </row>
    <row r="2966" spans="7:178" x14ac:dyDescent="0.4">
      <c r="G2966" s="36"/>
      <c r="FV2966" s="24"/>
    </row>
    <row r="2967" spans="7:178" x14ac:dyDescent="0.4">
      <c r="G2967" s="36"/>
      <c r="FV2967" s="24"/>
    </row>
    <row r="2968" spans="7:178" x14ac:dyDescent="0.4">
      <c r="G2968" s="36"/>
      <c r="FV2968" s="24"/>
    </row>
    <row r="2969" spans="7:178" x14ac:dyDescent="0.4">
      <c r="G2969" s="36"/>
      <c r="FV2969" s="24"/>
    </row>
    <row r="2970" spans="7:178" x14ac:dyDescent="0.4">
      <c r="G2970" s="36"/>
      <c r="FV2970" s="24"/>
    </row>
    <row r="2971" spans="7:178" x14ac:dyDescent="0.4">
      <c r="G2971" s="36"/>
      <c r="FV2971" s="24"/>
    </row>
    <row r="2972" spans="7:178" x14ac:dyDescent="0.4">
      <c r="G2972" s="36"/>
      <c r="FV2972" s="24"/>
    </row>
    <row r="2973" spans="7:178" x14ac:dyDescent="0.4">
      <c r="G2973" s="36"/>
      <c r="FV2973" s="24"/>
    </row>
    <row r="2974" spans="7:178" x14ac:dyDescent="0.4">
      <c r="G2974" s="36"/>
      <c r="FV2974" s="24"/>
    </row>
    <row r="2975" spans="7:178" x14ac:dyDescent="0.4">
      <c r="G2975" s="36"/>
      <c r="FV2975" s="24"/>
    </row>
    <row r="2976" spans="7:178" x14ac:dyDescent="0.4">
      <c r="G2976" s="36"/>
      <c r="FV2976" s="24"/>
    </row>
    <row r="2977" spans="7:178" x14ac:dyDescent="0.4">
      <c r="G2977" s="36"/>
      <c r="FV2977" s="24"/>
    </row>
    <row r="2978" spans="7:178" x14ac:dyDescent="0.4">
      <c r="G2978" s="36"/>
      <c r="FV2978" s="24"/>
    </row>
    <row r="2979" spans="7:178" x14ac:dyDescent="0.4">
      <c r="G2979" s="36"/>
      <c r="FV2979" s="24"/>
    </row>
    <row r="2980" spans="7:178" x14ac:dyDescent="0.4">
      <c r="G2980" s="36"/>
      <c r="FV2980" s="24"/>
    </row>
    <row r="2981" spans="7:178" x14ac:dyDescent="0.4">
      <c r="G2981" s="36"/>
      <c r="FV2981" s="24"/>
    </row>
    <row r="2982" spans="7:178" x14ac:dyDescent="0.4">
      <c r="G2982" s="36"/>
      <c r="FV2982" s="24"/>
    </row>
    <row r="2983" spans="7:178" x14ac:dyDescent="0.4">
      <c r="G2983" s="36"/>
      <c r="FV2983" s="24"/>
    </row>
    <row r="2984" spans="7:178" x14ac:dyDescent="0.4">
      <c r="G2984" s="36"/>
      <c r="FV2984" s="24"/>
    </row>
    <row r="2985" spans="7:178" x14ac:dyDescent="0.4">
      <c r="G2985" s="36"/>
      <c r="FV2985" s="24"/>
    </row>
    <row r="2986" spans="7:178" x14ac:dyDescent="0.4">
      <c r="G2986" s="36"/>
      <c r="FV2986" s="24"/>
    </row>
    <row r="2987" spans="7:178" x14ac:dyDescent="0.4">
      <c r="G2987" s="36"/>
      <c r="FV2987" s="24"/>
    </row>
    <row r="2988" spans="7:178" x14ac:dyDescent="0.4">
      <c r="G2988" s="36"/>
      <c r="FV2988" s="24"/>
    </row>
    <row r="2989" spans="7:178" x14ac:dyDescent="0.4">
      <c r="G2989" s="36"/>
      <c r="FV2989" s="24"/>
    </row>
    <row r="2990" spans="7:178" x14ac:dyDescent="0.4">
      <c r="G2990" s="36"/>
      <c r="FV2990" s="24"/>
    </row>
    <row r="2991" spans="7:178" x14ac:dyDescent="0.4">
      <c r="G2991" s="36"/>
      <c r="FV2991" s="24"/>
    </row>
    <row r="2992" spans="7:178" x14ac:dyDescent="0.4">
      <c r="G2992" s="36"/>
      <c r="FV2992" s="24"/>
    </row>
    <row r="2993" spans="7:178" x14ac:dyDescent="0.4">
      <c r="G2993" s="36"/>
      <c r="FV2993" s="24"/>
    </row>
    <row r="2994" spans="7:178" x14ac:dyDescent="0.4">
      <c r="G2994" s="36"/>
      <c r="FV2994" s="24"/>
    </row>
    <row r="2995" spans="7:178" x14ac:dyDescent="0.4">
      <c r="G2995" s="36"/>
      <c r="FV2995" s="24"/>
    </row>
    <row r="2996" spans="7:178" x14ac:dyDescent="0.4">
      <c r="G2996" s="36"/>
      <c r="FV2996" s="24"/>
    </row>
    <row r="2997" spans="7:178" x14ac:dyDescent="0.4">
      <c r="G2997" s="36"/>
      <c r="FV2997" s="24"/>
    </row>
    <row r="2998" spans="7:178" x14ac:dyDescent="0.4">
      <c r="G2998" s="36"/>
      <c r="FV2998" s="24"/>
    </row>
    <row r="2999" spans="7:178" x14ac:dyDescent="0.4">
      <c r="G2999" s="36"/>
      <c r="FV2999" s="24"/>
    </row>
    <row r="3000" spans="7:178" x14ac:dyDescent="0.4">
      <c r="G3000" s="36"/>
      <c r="FV3000" s="24"/>
    </row>
    <row r="3001" spans="7:178" x14ac:dyDescent="0.4">
      <c r="G3001" s="36"/>
      <c r="FV3001" s="24"/>
    </row>
    <row r="3002" spans="7:178" x14ac:dyDescent="0.4">
      <c r="G3002" s="36"/>
      <c r="FV3002" s="24"/>
    </row>
    <row r="3003" spans="7:178" x14ac:dyDescent="0.4">
      <c r="G3003" s="36"/>
      <c r="FV3003" s="24"/>
    </row>
    <row r="3004" spans="7:178" x14ac:dyDescent="0.4">
      <c r="G3004" s="36"/>
      <c r="FV3004" s="24"/>
    </row>
    <row r="3005" spans="7:178" x14ac:dyDescent="0.4">
      <c r="G3005" s="36"/>
      <c r="FV3005" s="24"/>
    </row>
    <row r="3006" spans="7:178" x14ac:dyDescent="0.4">
      <c r="G3006" s="36"/>
      <c r="FV3006" s="24"/>
    </row>
    <row r="3007" spans="7:178" x14ac:dyDescent="0.4">
      <c r="G3007" s="36"/>
      <c r="FV3007" s="24"/>
    </row>
    <row r="3008" spans="7:178" x14ac:dyDescent="0.4">
      <c r="G3008" s="36"/>
      <c r="FV3008" s="24"/>
    </row>
    <row r="3009" spans="7:178" x14ac:dyDescent="0.4">
      <c r="G3009" s="36"/>
      <c r="FV3009" s="24"/>
    </row>
    <row r="3010" spans="7:178" x14ac:dyDescent="0.4">
      <c r="G3010" s="36"/>
      <c r="FV3010" s="24"/>
    </row>
    <row r="3011" spans="7:178" x14ac:dyDescent="0.4">
      <c r="G3011" s="36"/>
      <c r="FV3011" s="24"/>
    </row>
    <row r="3012" spans="7:178" x14ac:dyDescent="0.4">
      <c r="G3012" s="36"/>
      <c r="FV3012" s="24"/>
    </row>
    <row r="3013" spans="7:178" x14ac:dyDescent="0.4">
      <c r="G3013" s="36"/>
      <c r="FV3013" s="24"/>
    </row>
    <row r="3014" spans="7:178" x14ac:dyDescent="0.4">
      <c r="G3014" s="36"/>
      <c r="FV3014" s="24"/>
    </row>
    <row r="3015" spans="7:178" x14ac:dyDescent="0.4">
      <c r="G3015" s="36"/>
      <c r="FV3015" s="24"/>
    </row>
    <row r="3016" spans="7:178" x14ac:dyDescent="0.4">
      <c r="G3016" s="36"/>
      <c r="FV3016" s="24"/>
    </row>
    <row r="3017" spans="7:178" x14ac:dyDescent="0.4">
      <c r="G3017" s="36"/>
      <c r="FV3017" s="24"/>
    </row>
    <row r="3018" spans="7:178" x14ac:dyDescent="0.4">
      <c r="G3018" s="36"/>
      <c r="FV3018" s="24"/>
    </row>
    <row r="3019" spans="7:178" x14ac:dyDescent="0.4">
      <c r="G3019" s="36"/>
      <c r="FV3019" s="24"/>
    </row>
    <row r="3020" spans="7:178" x14ac:dyDescent="0.4">
      <c r="G3020" s="36"/>
      <c r="FV3020" s="24"/>
    </row>
    <row r="3021" spans="7:178" x14ac:dyDescent="0.4">
      <c r="G3021" s="36"/>
      <c r="FV3021" s="24"/>
    </row>
    <row r="3022" spans="7:178" x14ac:dyDescent="0.4">
      <c r="G3022" s="36"/>
      <c r="FV3022" s="24"/>
    </row>
    <row r="3023" spans="7:178" x14ac:dyDescent="0.4">
      <c r="G3023" s="36"/>
      <c r="FV3023" s="24"/>
    </row>
    <row r="3024" spans="7:178" x14ac:dyDescent="0.4">
      <c r="G3024" s="36"/>
      <c r="FV3024" s="24"/>
    </row>
    <row r="3025" spans="7:178" x14ac:dyDescent="0.4">
      <c r="G3025" s="36"/>
      <c r="FV3025" s="24"/>
    </row>
    <row r="3026" spans="7:178" x14ac:dyDescent="0.4">
      <c r="G3026" s="36"/>
      <c r="FV3026" s="24"/>
    </row>
    <row r="3027" spans="7:178" x14ac:dyDescent="0.4">
      <c r="G3027" s="36"/>
      <c r="FV3027" s="24"/>
    </row>
    <row r="3028" spans="7:178" x14ac:dyDescent="0.4">
      <c r="G3028" s="36"/>
      <c r="FV3028" s="24"/>
    </row>
    <row r="3029" spans="7:178" x14ac:dyDescent="0.4">
      <c r="G3029" s="36"/>
      <c r="FV3029" s="24"/>
    </row>
    <row r="3030" spans="7:178" x14ac:dyDescent="0.4">
      <c r="G3030" s="36"/>
      <c r="FV3030" s="24"/>
    </row>
    <row r="3031" spans="7:178" x14ac:dyDescent="0.4">
      <c r="G3031" s="36"/>
      <c r="FV3031" s="24"/>
    </row>
    <row r="3032" spans="7:178" x14ac:dyDescent="0.4">
      <c r="G3032" s="36"/>
      <c r="FV3032" s="24"/>
    </row>
    <row r="3033" spans="7:178" x14ac:dyDescent="0.4">
      <c r="G3033" s="36"/>
      <c r="FV3033" s="24"/>
    </row>
    <row r="3034" spans="7:178" x14ac:dyDescent="0.4">
      <c r="G3034" s="36"/>
      <c r="FV3034" s="24"/>
    </row>
    <row r="3035" spans="7:178" x14ac:dyDescent="0.4">
      <c r="G3035" s="36"/>
      <c r="FV3035" s="24"/>
    </row>
    <row r="3036" spans="7:178" x14ac:dyDescent="0.4">
      <c r="G3036" s="36"/>
      <c r="FV3036" s="24"/>
    </row>
    <row r="3037" spans="7:178" x14ac:dyDescent="0.4">
      <c r="G3037" s="36"/>
      <c r="FV3037" s="24"/>
    </row>
    <row r="3038" spans="7:178" x14ac:dyDescent="0.4">
      <c r="G3038" s="36"/>
      <c r="FV3038" s="24"/>
    </row>
    <row r="3039" spans="7:178" x14ac:dyDescent="0.4">
      <c r="G3039" s="36"/>
      <c r="FV3039" s="24"/>
    </row>
    <row r="3040" spans="7:178" x14ac:dyDescent="0.4">
      <c r="G3040" s="36"/>
      <c r="FV3040" s="24"/>
    </row>
    <row r="3041" spans="7:178" x14ac:dyDescent="0.4">
      <c r="G3041" s="36"/>
      <c r="FV3041" s="24"/>
    </row>
    <row r="3042" spans="7:178" x14ac:dyDescent="0.4">
      <c r="G3042" s="36"/>
      <c r="FV3042" s="24"/>
    </row>
    <row r="3043" spans="7:178" x14ac:dyDescent="0.4">
      <c r="G3043" s="36"/>
      <c r="FV3043" s="24"/>
    </row>
    <row r="3044" spans="7:178" x14ac:dyDescent="0.4">
      <c r="G3044" s="36"/>
      <c r="FV3044" s="24"/>
    </row>
    <row r="3045" spans="7:178" x14ac:dyDescent="0.4">
      <c r="G3045" s="36"/>
      <c r="FV3045" s="24"/>
    </row>
    <row r="3046" spans="7:178" x14ac:dyDescent="0.4">
      <c r="G3046" s="36"/>
      <c r="FV3046" s="24"/>
    </row>
    <row r="3047" spans="7:178" x14ac:dyDescent="0.4">
      <c r="G3047" s="36"/>
      <c r="FV3047" s="24"/>
    </row>
    <row r="3048" spans="7:178" x14ac:dyDescent="0.4">
      <c r="G3048" s="36"/>
      <c r="FV3048" s="24"/>
    </row>
    <row r="3049" spans="7:178" x14ac:dyDescent="0.4">
      <c r="G3049" s="36"/>
      <c r="FV3049" s="24"/>
    </row>
    <row r="3050" spans="7:178" x14ac:dyDescent="0.4">
      <c r="G3050" s="36"/>
      <c r="FV3050" s="24"/>
    </row>
    <row r="3051" spans="7:178" x14ac:dyDescent="0.4">
      <c r="G3051" s="36"/>
      <c r="FV3051" s="24"/>
    </row>
    <row r="3052" spans="7:178" x14ac:dyDescent="0.4">
      <c r="G3052" s="36"/>
      <c r="FV3052" s="24"/>
    </row>
    <row r="3053" spans="7:178" x14ac:dyDescent="0.4">
      <c r="G3053" s="36"/>
      <c r="FV3053" s="24"/>
    </row>
    <row r="3054" spans="7:178" x14ac:dyDescent="0.4">
      <c r="G3054" s="36"/>
      <c r="FV3054" s="24"/>
    </row>
    <row r="3055" spans="7:178" x14ac:dyDescent="0.4">
      <c r="G3055" s="36"/>
      <c r="FV3055" s="24"/>
    </row>
    <row r="3056" spans="7:178" x14ac:dyDescent="0.4">
      <c r="G3056" s="36"/>
      <c r="FV3056" s="24"/>
    </row>
    <row r="3057" spans="7:178" x14ac:dyDescent="0.4">
      <c r="G3057" s="36"/>
      <c r="FV3057" s="24"/>
    </row>
    <row r="3058" spans="7:178" x14ac:dyDescent="0.4">
      <c r="G3058" s="36"/>
      <c r="FV3058" s="24"/>
    </row>
    <row r="3059" spans="7:178" x14ac:dyDescent="0.4">
      <c r="G3059" s="36"/>
      <c r="FV3059" s="24"/>
    </row>
    <row r="3060" spans="7:178" x14ac:dyDescent="0.4">
      <c r="G3060" s="36"/>
      <c r="FV3060" s="24"/>
    </row>
    <row r="3061" spans="7:178" x14ac:dyDescent="0.4">
      <c r="G3061" s="36"/>
      <c r="FV3061" s="24"/>
    </row>
    <row r="3062" spans="7:178" x14ac:dyDescent="0.4">
      <c r="G3062" s="36"/>
      <c r="FV3062" s="24"/>
    </row>
    <row r="3063" spans="7:178" x14ac:dyDescent="0.4">
      <c r="G3063" s="36"/>
      <c r="FV3063" s="24"/>
    </row>
    <row r="3064" spans="7:178" x14ac:dyDescent="0.4">
      <c r="G3064" s="36"/>
      <c r="FV3064" s="24"/>
    </row>
    <row r="3065" spans="7:178" x14ac:dyDescent="0.4">
      <c r="G3065" s="36"/>
      <c r="FV3065" s="24"/>
    </row>
    <row r="3066" spans="7:178" x14ac:dyDescent="0.4">
      <c r="G3066" s="36"/>
      <c r="FV3066" s="24"/>
    </row>
    <row r="3067" spans="7:178" x14ac:dyDescent="0.4">
      <c r="G3067" s="36"/>
      <c r="FV3067" s="24"/>
    </row>
    <row r="3068" spans="7:178" x14ac:dyDescent="0.4">
      <c r="G3068" s="36"/>
      <c r="FV3068" s="24"/>
    </row>
    <row r="3069" spans="7:178" x14ac:dyDescent="0.4">
      <c r="G3069" s="36"/>
      <c r="FV3069" s="24"/>
    </row>
    <row r="3070" spans="7:178" x14ac:dyDescent="0.4">
      <c r="G3070" s="36"/>
      <c r="FV3070" s="24"/>
    </row>
    <row r="3071" spans="7:178" x14ac:dyDescent="0.4">
      <c r="G3071" s="36"/>
      <c r="FV3071" s="24"/>
    </row>
    <row r="3072" spans="7:178" x14ac:dyDescent="0.4">
      <c r="G3072" s="36"/>
      <c r="FV3072" s="24"/>
    </row>
    <row r="3073" spans="7:178" x14ac:dyDescent="0.4">
      <c r="G3073" s="36"/>
      <c r="FV3073" s="24"/>
    </row>
    <row r="3074" spans="7:178" x14ac:dyDescent="0.4">
      <c r="G3074" s="36"/>
      <c r="FV3074" s="24"/>
    </row>
    <row r="3075" spans="7:178" x14ac:dyDescent="0.4">
      <c r="G3075" s="36"/>
      <c r="FV3075" s="24"/>
    </row>
    <row r="3076" spans="7:178" x14ac:dyDescent="0.4">
      <c r="G3076" s="36"/>
      <c r="FV3076" s="24"/>
    </row>
    <row r="3077" spans="7:178" x14ac:dyDescent="0.4">
      <c r="G3077" s="36"/>
      <c r="FV3077" s="24"/>
    </row>
    <row r="3078" spans="7:178" x14ac:dyDescent="0.4">
      <c r="G3078" s="36"/>
      <c r="FV3078" s="24"/>
    </row>
    <row r="3079" spans="7:178" x14ac:dyDescent="0.4">
      <c r="G3079" s="36"/>
      <c r="FV3079" s="24"/>
    </row>
    <row r="3080" spans="7:178" x14ac:dyDescent="0.4">
      <c r="G3080" s="36"/>
      <c r="FV3080" s="24"/>
    </row>
    <row r="3081" spans="7:178" x14ac:dyDescent="0.4">
      <c r="G3081" s="36"/>
      <c r="FV3081" s="24"/>
    </row>
    <row r="3082" spans="7:178" x14ac:dyDescent="0.4">
      <c r="G3082" s="36"/>
      <c r="FV3082" s="24"/>
    </row>
    <row r="3083" spans="7:178" x14ac:dyDescent="0.4">
      <c r="G3083" s="36"/>
      <c r="FV3083" s="24"/>
    </row>
    <row r="3084" spans="7:178" x14ac:dyDescent="0.4">
      <c r="G3084" s="36"/>
      <c r="FV3084" s="24"/>
    </row>
    <row r="3085" spans="7:178" x14ac:dyDescent="0.4">
      <c r="G3085" s="36"/>
      <c r="FV3085" s="24"/>
    </row>
    <row r="3086" spans="7:178" x14ac:dyDescent="0.4">
      <c r="G3086" s="36"/>
      <c r="FV3086" s="24"/>
    </row>
    <row r="3087" spans="7:178" x14ac:dyDescent="0.4">
      <c r="G3087" s="36"/>
      <c r="FV3087" s="24"/>
    </row>
    <row r="3088" spans="7:178" x14ac:dyDescent="0.4">
      <c r="G3088" s="36"/>
      <c r="FV3088" s="24"/>
    </row>
    <row r="3089" spans="7:178" x14ac:dyDescent="0.4">
      <c r="G3089" s="36"/>
      <c r="FV3089" s="24"/>
    </row>
    <row r="3090" spans="7:178" x14ac:dyDescent="0.4">
      <c r="G3090" s="36"/>
      <c r="FV3090" s="24"/>
    </row>
    <row r="3091" spans="7:178" x14ac:dyDescent="0.4">
      <c r="G3091" s="36"/>
      <c r="FV3091" s="24"/>
    </row>
    <row r="3092" spans="7:178" x14ac:dyDescent="0.4">
      <c r="G3092" s="36"/>
      <c r="FV3092" s="24"/>
    </row>
    <row r="3093" spans="7:178" x14ac:dyDescent="0.4">
      <c r="G3093" s="36"/>
      <c r="FV3093" s="24"/>
    </row>
    <row r="3094" spans="7:178" x14ac:dyDescent="0.4">
      <c r="G3094" s="36"/>
      <c r="FV3094" s="24"/>
    </row>
    <row r="3095" spans="7:178" x14ac:dyDescent="0.4">
      <c r="G3095" s="36"/>
      <c r="FV3095" s="24"/>
    </row>
    <row r="3096" spans="7:178" x14ac:dyDescent="0.4">
      <c r="G3096" s="36"/>
      <c r="FV3096" s="24"/>
    </row>
    <row r="3097" spans="7:178" x14ac:dyDescent="0.4">
      <c r="G3097" s="36"/>
      <c r="FV3097" s="24"/>
    </row>
    <row r="3098" spans="7:178" x14ac:dyDescent="0.4">
      <c r="G3098" s="36"/>
      <c r="FV3098" s="24"/>
    </row>
    <row r="3099" spans="7:178" x14ac:dyDescent="0.4">
      <c r="G3099" s="36"/>
      <c r="FV3099" s="24"/>
    </row>
    <row r="3100" spans="7:178" x14ac:dyDescent="0.4">
      <c r="G3100" s="36"/>
      <c r="FV3100" s="24"/>
    </row>
    <row r="3101" spans="7:178" x14ac:dyDescent="0.4">
      <c r="G3101" s="36"/>
      <c r="FV3101" s="24"/>
    </row>
    <row r="3102" spans="7:178" x14ac:dyDescent="0.4">
      <c r="G3102" s="36"/>
      <c r="FV3102" s="24"/>
    </row>
    <row r="3103" spans="7:178" x14ac:dyDescent="0.4">
      <c r="G3103" s="36"/>
      <c r="FV3103" s="24"/>
    </row>
    <row r="3104" spans="7:178" x14ac:dyDescent="0.4">
      <c r="G3104" s="36"/>
      <c r="FV3104" s="24"/>
    </row>
    <row r="3105" spans="7:178" x14ac:dyDescent="0.4">
      <c r="G3105" s="36"/>
      <c r="FV3105" s="24"/>
    </row>
    <row r="3106" spans="7:178" x14ac:dyDescent="0.4">
      <c r="G3106" s="36"/>
      <c r="FV3106" s="24"/>
    </row>
    <row r="3107" spans="7:178" x14ac:dyDescent="0.4">
      <c r="G3107" s="36"/>
      <c r="FV3107" s="24"/>
    </row>
    <row r="3108" spans="7:178" x14ac:dyDescent="0.4">
      <c r="G3108" s="36"/>
      <c r="FV3108" s="24"/>
    </row>
    <row r="3109" spans="7:178" x14ac:dyDescent="0.4">
      <c r="G3109" s="36"/>
      <c r="FV3109" s="24"/>
    </row>
    <row r="3110" spans="7:178" x14ac:dyDescent="0.4">
      <c r="G3110" s="36"/>
      <c r="FV3110" s="24"/>
    </row>
    <row r="3111" spans="7:178" x14ac:dyDescent="0.4">
      <c r="G3111" s="36"/>
      <c r="FV3111" s="24"/>
    </row>
    <row r="3112" spans="7:178" x14ac:dyDescent="0.4">
      <c r="G3112" s="36"/>
      <c r="FV3112" s="24"/>
    </row>
    <row r="3113" spans="7:178" x14ac:dyDescent="0.4">
      <c r="G3113" s="36"/>
      <c r="FV3113" s="24"/>
    </row>
    <row r="3114" spans="7:178" x14ac:dyDescent="0.4">
      <c r="G3114" s="36"/>
      <c r="FV3114" s="24"/>
    </row>
    <row r="3115" spans="7:178" x14ac:dyDescent="0.4">
      <c r="G3115" s="36"/>
      <c r="FV3115" s="24"/>
    </row>
    <row r="3116" spans="7:178" x14ac:dyDescent="0.4">
      <c r="G3116" s="36"/>
      <c r="FV3116" s="24"/>
    </row>
    <row r="3117" spans="7:178" x14ac:dyDescent="0.4">
      <c r="G3117" s="36"/>
      <c r="FV3117" s="24"/>
    </row>
    <row r="3118" spans="7:178" x14ac:dyDescent="0.4">
      <c r="G3118" s="36"/>
      <c r="FV3118" s="24"/>
    </row>
    <row r="3119" spans="7:178" x14ac:dyDescent="0.4">
      <c r="G3119" s="36"/>
      <c r="FV3119" s="24"/>
    </row>
    <row r="3120" spans="7:178" x14ac:dyDescent="0.4">
      <c r="G3120" s="36"/>
      <c r="FV3120" s="24"/>
    </row>
    <row r="3121" spans="7:178" x14ac:dyDescent="0.4">
      <c r="G3121" s="36"/>
      <c r="FV3121" s="24"/>
    </row>
    <row r="3122" spans="7:178" x14ac:dyDescent="0.4">
      <c r="G3122" s="36"/>
      <c r="FV3122" s="24"/>
    </row>
    <row r="3123" spans="7:178" x14ac:dyDescent="0.4">
      <c r="G3123" s="36"/>
      <c r="FV3123" s="24"/>
    </row>
    <row r="3124" spans="7:178" x14ac:dyDescent="0.4">
      <c r="G3124" s="36"/>
      <c r="FV3124" s="24"/>
    </row>
    <row r="3125" spans="7:178" x14ac:dyDescent="0.4">
      <c r="G3125" s="36"/>
      <c r="FV3125" s="24"/>
    </row>
    <row r="3126" spans="7:178" x14ac:dyDescent="0.4">
      <c r="G3126" s="36"/>
      <c r="FV3126" s="24"/>
    </row>
    <row r="3127" spans="7:178" x14ac:dyDescent="0.4">
      <c r="G3127" s="36"/>
      <c r="FV3127" s="24"/>
    </row>
    <row r="3128" spans="7:178" x14ac:dyDescent="0.4">
      <c r="G3128" s="36"/>
      <c r="FV3128" s="24"/>
    </row>
    <row r="3129" spans="7:178" x14ac:dyDescent="0.4">
      <c r="G3129" s="36"/>
      <c r="FV3129" s="24"/>
    </row>
    <row r="3130" spans="7:178" x14ac:dyDescent="0.4">
      <c r="G3130" s="36"/>
      <c r="FV3130" s="24"/>
    </row>
    <row r="3131" spans="7:178" x14ac:dyDescent="0.4">
      <c r="G3131" s="36"/>
      <c r="FV3131" s="24"/>
    </row>
    <row r="3132" spans="7:178" x14ac:dyDescent="0.4">
      <c r="G3132" s="36"/>
      <c r="FV3132" s="24"/>
    </row>
    <row r="3133" spans="7:178" x14ac:dyDescent="0.4">
      <c r="G3133" s="36"/>
      <c r="FV3133" s="24"/>
    </row>
    <row r="3134" spans="7:178" x14ac:dyDescent="0.4">
      <c r="G3134" s="36"/>
      <c r="FV3134" s="24"/>
    </row>
    <row r="3135" spans="7:178" x14ac:dyDescent="0.4">
      <c r="G3135" s="36"/>
      <c r="FV3135" s="24"/>
    </row>
    <row r="3136" spans="7:178" x14ac:dyDescent="0.4">
      <c r="G3136" s="36"/>
      <c r="FV3136" s="24"/>
    </row>
    <row r="3137" spans="7:178" x14ac:dyDescent="0.4">
      <c r="G3137" s="36"/>
      <c r="FV3137" s="24"/>
    </row>
    <row r="3138" spans="7:178" x14ac:dyDescent="0.4">
      <c r="G3138" s="36"/>
      <c r="FV3138" s="24"/>
    </row>
    <row r="3139" spans="7:178" x14ac:dyDescent="0.4">
      <c r="G3139" s="36"/>
      <c r="FV3139" s="24"/>
    </row>
    <row r="3140" spans="7:178" x14ac:dyDescent="0.4">
      <c r="G3140" s="36"/>
      <c r="FV3140" s="24"/>
    </row>
    <row r="3141" spans="7:178" x14ac:dyDescent="0.4">
      <c r="G3141" s="36"/>
      <c r="FV3141" s="24"/>
    </row>
    <row r="3142" spans="7:178" x14ac:dyDescent="0.4">
      <c r="G3142" s="36"/>
      <c r="FV3142" s="24"/>
    </row>
    <row r="3143" spans="7:178" x14ac:dyDescent="0.4">
      <c r="G3143" s="36"/>
      <c r="FV3143" s="24"/>
    </row>
    <row r="3144" spans="7:178" x14ac:dyDescent="0.4">
      <c r="G3144" s="36"/>
      <c r="FV3144" s="24"/>
    </row>
    <row r="3145" spans="7:178" x14ac:dyDescent="0.4">
      <c r="G3145" s="36"/>
      <c r="FV3145" s="24"/>
    </row>
    <row r="3146" spans="7:178" x14ac:dyDescent="0.4">
      <c r="G3146" s="36"/>
      <c r="FV3146" s="24"/>
    </row>
    <row r="3147" spans="7:178" x14ac:dyDescent="0.4">
      <c r="G3147" s="36"/>
      <c r="FV3147" s="24"/>
    </row>
    <row r="3148" spans="7:178" x14ac:dyDescent="0.4">
      <c r="G3148" s="36"/>
      <c r="FV3148" s="24"/>
    </row>
    <row r="3149" spans="7:178" x14ac:dyDescent="0.4">
      <c r="G3149" s="36"/>
      <c r="FV3149" s="24"/>
    </row>
    <row r="3150" spans="7:178" x14ac:dyDescent="0.4">
      <c r="G3150" s="36"/>
      <c r="FV3150" s="24"/>
    </row>
    <row r="3151" spans="7:178" x14ac:dyDescent="0.4">
      <c r="G3151" s="36"/>
      <c r="FV3151" s="24"/>
    </row>
    <row r="3152" spans="7:178" x14ac:dyDescent="0.4">
      <c r="G3152" s="36"/>
      <c r="FV3152" s="24"/>
    </row>
    <row r="3153" spans="7:178" x14ac:dyDescent="0.4">
      <c r="G3153" s="36"/>
      <c r="FV3153" s="24"/>
    </row>
    <row r="3154" spans="7:178" x14ac:dyDescent="0.4">
      <c r="G3154" s="36"/>
      <c r="FV3154" s="24"/>
    </row>
    <row r="3155" spans="7:178" x14ac:dyDescent="0.4">
      <c r="G3155" s="36"/>
      <c r="FV3155" s="24"/>
    </row>
    <row r="3156" spans="7:178" x14ac:dyDescent="0.4">
      <c r="G3156" s="36"/>
      <c r="FV3156" s="24"/>
    </row>
    <row r="3157" spans="7:178" x14ac:dyDescent="0.4">
      <c r="G3157" s="36"/>
      <c r="FV3157" s="24"/>
    </row>
    <row r="3158" spans="7:178" x14ac:dyDescent="0.4">
      <c r="G3158" s="36"/>
      <c r="FV3158" s="24"/>
    </row>
    <row r="3159" spans="7:178" x14ac:dyDescent="0.4">
      <c r="G3159" s="36"/>
      <c r="FV3159" s="24"/>
    </row>
    <row r="3160" spans="7:178" x14ac:dyDescent="0.4">
      <c r="G3160" s="36"/>
      <c r="FV3160" s="24"/>
    </row>
    <row r="3161" spans="7:178" x14ac:dyDescent="0.4">
      <c r="G3161" s="36"/>
      <c r="FV3161" s="24"/>
    </row>
    <row r="3162" spans="7:178" x14ac:dyDescent="0.4">
      <c r="G3162" s="36"/>
      <c r="FV3162" s="24"/>
    </row>
    <row r="3163" spans="7:178" x14ac:dyDescent="0.4">
      <c r="G3163" s="36"/>
      <c r="FV3163" s="24"/>
    </row>
    <row r="3164" spans="7:178" x14ac:dyDescent="0.4">
      <c r="G3164" s="36"/>
      <c r="FV3164" s="24"/>
    </row>
    <row r="3165" spans="7:178" x14ac:dyDescent="0.4">
      <c r="G3165" s="36"/>
      <c r="FV3165" s="24"/>
    </row>
    <row r="3166" spans="7:178" x14ac:dyDescent="0.4">
      <c r="G3166" s="36"/>
      <c r="FV3166" s="24"/>
    </row>
    <row r="3167" spans="7:178" x14ac:dyDescent="0.4">
      <c r="G3167" s="36"/>
      <c r="FV3167" s="24"/>
    </row>
    <row r="3168" spans="7:178" x14ac:dyDescent="0.4">
      <c r="G3168" s="36"/>
      <c r="FV3168" s="24"/>
    </row>
    <row r="3169" spans="7:178" x14ac:dyDescent="0.4">
      <c r="G3169" s="36"/>
      <c r="FV3169" s="24"/>
    </row>
    <row r="3170" spans="7:178" x14ac:dyDescent="0.4">
      <c r="G3170" s="36"/>
      <c r="FV3170" s="24"/>
    </row>
    <row r="3171" spans="7:178" x14ac:dyDescent="0.4">
      <c r="G3171" s="36"/>
      <c r="FV3171" s="24"/>
    </row>
    <row r="3172" spans="7:178" x14ac:dyDescent="0.4">
      <c r="G3172" s="36"/>
      <c r="FV3172" s="24"/>
    </row>
    <row r="3173" spans="7:178" x14ac:dyDescent="0.4">
      <c r="G3173" s="36"/>
      <c r="FV3173" s="24"/>
    </row>
    <row r="3174" spans="7:178" x14ac:dyDescent="0.4">
      <c r="G3174" s="36"/>
      <c r="FV3174" s="24"/>
    </row>
    <row r="3175" spans="7:178" x14ac:dyDescent="0.4">
      <c r="G3175" s="36"/>
      <c r="FV3175" s="24"/>
    </row>
    <row r="3176" spans="7:178" x14ac:dyDescent="0.4">
      <c r="G3176" s="36"/>
      <c r="FV3176" s="24"/>
    </row>
    <row r="3177" spans="7:178" x14ac:dyDescent="0.4">
      <c r="G3177" s="36"/>
      <c r="FV3177" s="24"/>
    </row>
    <row r="3178" spans="7:178" x14ac:dyDescent="0.4">
      <c r="G3178" s="36"/>
      <c r="FV3178" s="24"/>
    </row>
    <row r="3179" spans="7:178" x14ac:dyDescent="0.4">
      <c r="G3179" s="36"/>
      <c r="FV3179" s="24"/>
    </row>
    <row r="3180" spans="7:178" x14ac:dyDescent="0.4">
      <c r="G3180" s="36"/>
      <c r="FV3180" s="24"/>
    </row>
    <row r="3181" spans="7:178" x14ac:dyDescent="0.4">
      <c r="G3181" s="36"/>
      <c r="FV3181" s="24"/>
    </row>
    <row r="3182" spans="7:178" x14ac:dyDescent="0.4">
      <c r="G3182" s="36"/>
      <c r="FV3182" s="24"/>
    </row>
    <row r="3183" spans="7:178" x14ac:dyDescent="0.4">
      <c r="G3183" s="36"/>
      <c r="FV3183" s="24"/>
    </row>
    <row r="3184" spans="7:178" x14ac:dyDescent="0.4">
      <c r="G3184" s="36"/>
      <c r="FV3184" s="24"/>
    </row>
    <row r="3185" spans="7:178" x14ac:dyDescent="0.4">
      <c r="G3185" s="36"/>
      <c r="FV3185" s="24"/>
    </row>
    <row r="3186" spans="7:178" x14ac:dyDescent="0.4">
      <c r="G3186" s="36"/>
      <c r="FV3186" s="24"/>
    </row>
    <row r="3187" spans="7:178" x14ac:dyDescent="0.4">
      <c r="G3187" s="36"/>
      <c r="FV3187" s="24"/>
    </row>
    <row r="3188" spans="7:178" x14ac:dyDescent="0.4">
      <c r="G3188" s="36"/>
      <c r="FV3188" s="24"/>
    </row>
    <row r="3189" spans="7:178" x14ac:dyDescent="0.4">
      <c r="G3189" s="36"/>
      <c r="FV3189" s="24"/>
    </row>
    <row r="3190" spans="7:178" x14ac:dyDescent="0.4">
      <c r="G3190" s="36"/>
      <c r="FV3190" s="24"/>
    </row>
    <row r="3191" spans="7:178" x14ac:dyDescent="0.4">
      <c r="G3191" s="36"/>
      <c r="FV3191" s="24"/>
    </row>
    <row r="3192" spans="7:178" x14ac:dyDescent="0.4">
      <c r="G3192" s="36"/>
      <c r="FV3192" s="24"/>
    </row>
    <row r="3193" spans="7:178" x14ac:dyDescent="0.4">
      <c r="G3193" s="36"/>
      <c r="FV3193" s="24"/>
    </row>
    <row r="3194" spans="7:178" x14ac:dyDescent="0.4">
      <c r="G3194" s="36"/>
      <c r="FV3194" s="24"/>
    </row>
    <row r="3195" spans="7:178" x14ac:dyDescent="0.4">
      <c r="G3195" s="36"/>
      <c r="FV3195" s="24"/>
    </row>
    <row r="3196" spans="7:178" x14ac:dyDescent="0.4">
      <c r="G3196" s="36"/>
      <c r="FV3196" s="24"/>
    </row>
    <row r="3197" spans="7:178" x14ac:dyDescent="0.4">
      <c r="G3197" s="36"/>
      <c r="FV3197" s="24"/>
    </row>
    <row r="3198" spans="7:178" x14ac:dyDescent="0.4">
      <c r="G3198" s="36"/>
      <c r="FV3198" s="24"/>
    </row>
    <row r="3199" spans="7:178" x14ac:dyDescent="0.4">
      <c r="G3199" s="36"/>
      <c r="FV3199" s="24"/>
    </row>
    <row r="3200" spans="7:178" x14ac:dyDescent="0.4">
      <c r="G3200" s="36"/>
      <c r="FV3200" s="24"/>
    </row>
    <row r="3201" spans="7:178" x14ac:dyDescent="0.4">
      <c r="G3201" s="36"/>
      <c r="FV3201" s="24"/>
    </row>
    <row r="3202" spans="7:178" x14ac:dyDescent="0.4">
      <c r="G3202" s="36"/>
      <c r="FV3202" s="24"/>
    </row>
    <row r="3203" spans="7:178" x14ac:dyDescent="0.4">
      <c r="G3203" s="36"/>
      <c r="FV3203" s="24"/>
    </row>
    <row r="3204" spans="7:178" x14ac:dyDescent="0.4">
      <c r="G3204" s="36"/>
      <c r="FV3204" s="24"/>
    </row>
    <row r="3205" spans="7:178" x14ac:dyDescent="0.4">
      <c r="G3205" s="36"/>
      <c r="FV3205" s="24"/>
    </row>
    <row r="3206" spans="7:178" x14ac:dyDescent="0.4">
      <c r="G3206" s="36"/>
      <c r="FV3206" s="24"/>
    </row>
    <row r="3207" spans="7:178" x14ac:dyDescent="0.4">
      <c r="G3207" s="36"/>
      <c r="FV3207" s="24"/>
    </row>
    <row r="3208" spans="7:178" x14ac:dyDescent="0.4">
      <c r="G3208" s="36"/>
      <c r="FV3208" s="24"/>
    </row>
    <row r="3209" spans="7:178" x14ac:dyDescent="0.4">
      <c r="G3209" s="36"/>
      <c r="FV3209" s="24"/>
    </row>
    <row r="3210" spans="7:178" x14ac:dyDescent="0.4">
      <c r="G3210" s="36"/>
      <c r="FV3210" s="24"/>
    </row>
    <row r="3211" spans="7:178" x14ac:dyDescent="0.4">
      <c r="G3211" s="36"/>
      <c r="FV3211" s="24"/>
    </row>
    <row r="3212" spans="7:178" x14ac:dyDescent="0.4">
      <c r="G3212" s="36"/>
      <c r="FV3212" s="24"/>
    </row>
    <row r="3213" spans="7:178" x14ac:dyDescent="0.4">
      <c r="G3213" s="36"/>
      <c r="FV3213" s="24"/>
    </row>
    <row r="3214" spans="7:178" x14ac:dyDescent="0.4">
      <c r="G3214" s="36"/>
      <c r="FV3214" s="24"/>
    </row>
    <row r="3215" spans="7:178" x14ac:dyDescent="0.4">
      <c r="G3215" s="36"/>
      <c r="FV3215" s="24"/>
    </row>
    <row r="3216" spans="7:178" x14ac:dyDescent="0.4">
      <c r="G3216" s="36"/>
      <c r="FV3216" s="24"/>
    </row>
    <row r="3217" spans="7:178" x14ac:dyDescent="0.4">
      <c r="G3217" s="36"/>
      <c r="FV3217" s="24"/>
    </row>
    <row r="3218" spans="7:178" x14ac:dyDescent="0.4">
      <c r="G3218" s="36"/>
      <c r="FV3218" s="24"/>
    </row>
    <row r="3219" spans="7:178" x14ac:dyDescent="0.4">
      <c r="G3219" s="36"/>
      <c r="FV3219" s="24"/>
    </row>
    <row r="3220" spans="7:178" x14ac:dyDescent="0.4">
      <c r="G3220" s="36"/>
      <c r="FV3220" s="24"/>
    </row>
    <row r="3221" spans="7:178" x14ac:dyDescent="0.4">
      <c r="G3221" s="36"/>
      <c r="FV3221" s="24"/>
    </row>
    <row r="3222" spans="7:178" x14ac:dyDescent="0.4">
      <c r="G3222" s="36"/>
      <c r="FV3222" s="24"/>
    </row>
    <row r="3223" spans="7:178" x14ac:dyDescent="0.4">
      <c r="G3223" s="36"/>
      <c r="FV3223" s="24"/>
    </row>
    <row r="3224" spans="7:178" x14ac:dyDescent="0.4">
      <c r="G3224" s="36"/>
      <c r="FV3224" s="24"/>
    </row>
    <row r="3225" spans="7:178" x14ac:dyDescent="0.4">
      <c r="G3225" s="36"/>
      <c r="FV3225" s="24"/>
    </row>
    <row r="3226" spans="7:178" x14ac:dyDescent="0.4">
      <c r="G3226" s="36"/>
      <c r="FV3226" s="24"/>
    </row>
    <row r="3227" spans="7:178" x14ac:dyDescent="0.4">
      <c r="G3227" s="36"/>
      <c r="FV3227" s="24"/>
    </row>
    <row r="3228" spans="7:178" x14ac:dyDescent="0.4">
      <c r="G3228" s="36"/>
      <c r="FV3228" s="24"/>
    </row>
    <row r="3229" spans="7:178" x14ac:dyDescent="0.4">
      <c r="G3229" s="36"/>
      <c r="FV3229" s="24"/>
    </row>
    <row r="3230" spans="7:178" x14ac:dyDescent="0.4">
      <c r="G3230" s="36"/>
      <c r="FV3230" s="24"/>
    </row>
    <row r="3231" spans="7:178" x14ac:dyDescent="0.4">
      <c r="G3231" s="36"/>
      <c r="FV3231" s="24"/>
    </row>
    <row r="3232" spans="7:178" x14ac:dyDescent="0.4">
      <c r="G3232" s="36"/>
      <c r="FV3232" s="24"/>
    </row>
    <row r="3233" spans="7:178" x14ac:dyDescent="0.4">
      <c r="G3233" s="36"/>
      <c r="FV3233" s="24"/>
    </row>
    <row r="3234" spans="7:178" x14ac:dyDescent="0.4">
      <c r="G3234" s="36"/>
      <c r="FV3234" s="24"/>
    </row>
    <row r="3235" spans="7:178" x14ac:dyDescent="0.4">
      <c r="G3235" s="36"/>
      <c r="FV3235" s="24"/>
    </row>
    <row r="3236" spans="7:178" x14ac:dyDescent="0.4">
      <c r="G3236" s="36"/>
      <c r="FV3236" s="24"/>
    </row>
    <row r="3237" spans="7:178" x14ac:dyDescent="0.4">
      <c r="G3237" s="36"/>
      <c r="FV3237" s="24"/>
    </row>
    <row r="3238" spans="7:178" x14ac:dyDescent="0.4">
      <c r="G3238" s="36"/>
      <c r="FV3238" s="24"/>
    </row>
    <row r="3239" spans="7:178" x14ac:dyDescent="0.4">
      <c r="G3239" s="36"/>
      <c r="FV3239" s="24"/>
    </row>
    <row r="3240" spans="7:178" x14ac:dyDescent="0.4">
      <c r="G3240" s="36"/>
      <c r="FV3240" s="24"/>
    </row>
    <row r="3241" spans="7:178" x14ac:dyDescent="0.4">
      <c r="G3241" s="36"/>
      <c r="FV3241" s="24"/>
    </row>
    <row r="3242" spans="7:178" x14ac:dyDescent="0.4">
      <c r="G3242" s="36"/>
      <c r="FV3242" s="24"/>
    </row>
    <row r="3243" spans="7:178" x14ac:dyDescent="0.4">
      <c r="G3243" s="36"/>
      <c r="FV3243" s="24"/>
    </row>
    <row r="3244" spans="7:178" x14ac:dyDescent="0.4">
      <c r="G3244" s="36"/>
      <c r="FV3244" s="24"/>
    </row>
    <row r="3245" spans="7:178" x14ac:dyDescent="0.4">
      <c r="G3245" s="36"/>
      <c r="FV3245" s="24"/>
    </row>
    <row r="3246" spans="7:178" x14ac:dyDescent="0.4">
      <c r="G3246" s="36"/>
      <c r="FV3246" s="24"/>
    </row>
    <row r="3247" spans="7:178" x14ac:dyDescent="0.4">
      <c r="G3247" s="36"/>
      <c r="FV3247" s="24"/>
    </row>
    <row r="3248" spans="7:178" x14ac:dyDescent="0.4">
      <c r="G3248" s="36"/>
      <c r="FV3248" s="24"/>
    </row>
    <row r="3249" spans="7:178" x14ac:dyDescent="0.4">
      <c r="G3249" s="36"/>
      <c r="FV3249" s="24"/>
    </row>
    <row r="3250" spans="7:178" x14ac:dyDescent="0.4">
      <c r="G3250" s="36"/>
      <c r="FV3250" s="24"/>
    </row>
    <row r="3251" spans="7:178" x14ac:dyDescent="0.4">
      <c r="G3251" s="36"/>
      <c r="FV3251" s="24"/>
    </row>
    <row r="3252" spans="7:178" x14ac:dyDescent="0.4">
      <c r="G3252" s="36"/>
      <c r="FV3252" s="24"/>
    </row>
    <row r="3253" spans="7:178" x14ac:dyDescent="0.4">
      <c r="G3253" s="36"/>
      <c r="FV3253" s="24"/>
    </row>
    <row r="3254" spans="7:178" x14ac:dyDescent="0.4">
      <c r="G3254" s="36"/>
      <c r="FV3254" s="24"/>
    </row>
    <row r="3255" spans="7:178" x14ac:dyDescent="0.4">
      <c r="G3255" s="36"/>
      <c r="FV3255" s="24"/>
    </row>
    <row r="3256" spans="7:178" x14ac:dyDescent="0.4">
      <c r="G3256" s="36"/>
      <c r="FV3256" s="24"/>
    </row>
    <row r="3257" spans="7:178" x14ac:dyDescent="0.4">
      <c r="G3257" s="36"/>
      <c r="FV3257" s="24"/>
    </row>
    <row r="3258" spans="7:178" x14ac:dyDescent="0.4">
      <c r="G3258" s="36"/>
      <c r="FV3258" s="24"/>
    </row>
    <row r="3259" spans="7:178" x14ac:dyDescent="0.4">
      <c r="G3259" s="36"/>
      <c r="FV3259" s="24"/>
    </row>
    <row r="3260" spans="7:178" x14ac:dyDescent="0.4">
      <c r="G3260" s="36"/>
      <c r="FV3260" s="24"/>
    </row>
    <row r="3261" spans="7:178" x14ac:dyDescent="0.4">
      <c r="G3261" s="36"/>
      <c r="FV3261" s="24"/>
    </row>
    <row r="3262" spans="7:178" x14ac:dyDescent="0.4">
      <c r="G3262" s="36"/>
      <c r="FV3262" s="24"/>
    </row>
    <row r="3263" spans="7:178" x14ac:dyDescent="0.4">
      <c r="G3263" s="36"/>
      <c r="FV3263" s="24"/>
    </row>
    <row r="3264" spans="7:178" x14ac:dyDescent="0.4">
      <c r="G3264" s="36"/>
      <c r="FV3264" s="24"/>
    </row>
    <row r="3265" spans="7:178" x14ac:dyDescent="0.4">
      <c r="G3265" s="36"/>
      <c r="FV3265" s="24"/>
    </row>
    <row r="3266" spans="7:178" x14ac:dyDescent="0.4">
      <c r="G3266" s="36"/>
      <c r="FV3266" s="24"/>
    </row>
    <row r="3267" spans="7:178" x14ac:dyDescent="0.4">
      <c r="G3267" s="36"/>
      <c r="FV3267" s="24"/>
    </row>
    <row r="3268" spans="7:178" x14ac:dyDescent="0.4">
      <c r="G3268" s="36"/>
      <c r="FV3268" s="24"/>
    </row>
    <row r="3269" spans="7:178" x14ac:dyDescent="0.4">
      <c r="G3269" s="36"/>
      <c r="FV3269" s="24"/>
    </row>
    <row r="3270" spans="7:178" x14ac:dyDescent="0.4">
      <c r="G3270" s="36"/>
      <c r="FV3270" s="24"/>
    </row>
    <row r="3271" spans="7:178" x14ac:dyDescent="0.4">
      <c r="G3271" s="36"/>
      <c r="FV3271" s="24"/>
    </row>
    <row r="3272" spans="7:178" x14ac:dyDescent="0.4">
      <c r="G3272" s="36"/>
      <c r="FV3272" s="24"/>
    </row>
    <row r="3273" spans="7:178" x14ac:dyDescent="0.4">
      <c r="G3273" s="36"/>
      <c r="FV3273" s="24"/>
    </row>
    <row r="3274" spans="7:178" x14ac:dyDescent="0.4">
      <c r="G3274" s="36"/>
      <c r="FV3274" s="24"/>
    </row>
    <row r="3275" spans="7:178" x14ac:dyDescent="0.4">
      <c r="G3275" s="36"/>
      <c r="FV3275" s="24"/>
    </row>
    <row r="3276" spans="7:178" x14ac:dyDescent="0.4">
      <c r="G3276" s="36"/>
      <c r="FV3276" s="24"/>
    </row>
    <row r="3277" spans="7:178" x14ac:dyDescent="0.4">
      <c r="G3277" s="36"/>
      <c r="FV3277" s="24"/>
    </row>
    <row r="3278" spans="7:178" x14ac:dyDescent="0.4">
      <c r="G3278" s="36"/>
      <c r="FV3278" s="24"/>
    </row>
    <row r="3279" spans="7:178" x14ac:dyDescent="0.4">
      <c r="G3279" s="36"/>
      <c r="FV3279" s="24"/>
    </row>
    <row r="3280" spans="7:178" x14ac:dyDescent="0.4">
      <c r="G3280" s="36"/>
      <c r="FV3280" s="24"/>
    </row>
    <row r="3281" spans="7:178" x14ac:dyDescent="0.4">
      <c r="G3281" s="36"/>
      <c r="FV3281" s="24"/>
    </row>
    <row r="3282" spans="7:178" x14ac:dyDescent="0.4">
      <c r="G3282" s="36"/>
      <c r="FV3282" s="24"/>
    </row>
    <row r="3283" spans="7:178" x14ac:dyDescent="0.4">
      <c r="G3283" s="36"/>
      <c r="FV3283" s="24"/>
    </row>
    <row r="3284" spans="7:178" x14ac:dyDescent="0.4">
      <c r="G3284" s="36"/>
      <c r="FV3284" s="24"/>
    </row>
    <row r="3285" spans="7:178" x14ac:dyDescent="0.4">
      <c r="G3285" s="36"/>
      <c r="FV3285" s="24"/>
    </row>
    <row r="3286" spans="7:178" x14ac:dyDescent="0.4">
      <c r="G3286" s="36"/>
      <c r="FV3286" s="24"/>
    </row>
    <row r="3287" spans="7:178" x14ac:dyDescent="0.4">
      <c r="G3287" s="36"/>
      <c r="FV3287" s="24"/>
    </row>
    <row r="3288" spans="7:178" x14ac:dyDescent="0.4">
      <c r="G3288" s="36"/>
      <c r="FV3288" s="24"/>
    </row>
    <row r="3289" spans="7:178" x14ac:dyDescent="0.4">
      <c r="G3289" s="36"/>
      <c r="FV3289" s="24"/>
    </row>
    <row r="3290" spans="7:178" x14ac:dyDescent="0.4">
      <c r="G3290" s="36"/>
      <c r="FV3290" s="24"/>
    </row>
    <row r="3291" spans="7:178" x14ac:dyDescent="0.4">
      <c r="G3291" s="36"/>
      <c r="FV3291" s="24"/>
    </row>
    <row r="3292" spans="7:178" x14ac:dyDescent="0.4">
      <c r="G3292" s="36"/>
      <c r="FV3292" s="24"/>
    </row>
    <row r="3293" spans="7:178" x14ac:dyDescent="0.4">
      <c r="G3293" s="36"/>
      <c r="FV3293" s="24"/>
    </row>
    <row r="3294" spans="7:178" x14ac:dyDescent="0.4">
      <c r="G3294" s="36"/>
      <c r="FV3294" s="24"/>
    </row>
    <row r="3295" spans="7:178" x14ac:dyDescent="0.4">
      <c r="G3295" s="36"/>
      <c r="FV3295" s="24"/>
    </row>
    <row r="3296" spans="7:178" x14ac:dyDescent="0.4">
      <c r="G3296" s="36"/>
      <c r="FV3296" s="24"/>
    </row>
    <row r="3297" spans="7:178" x14ac:dyDescent="0.4">
      <c r="G3297" s="36"/>
      <c r="FV3297" s="24"/>
    </row>
    <row r="3298" spans="7:178" x14ac:dyDescent="0.4">
      <c r="G3298" s="36"/>
      <c r="FV3298" s="24"/>
    </row>
    <row r="3299" spans="7:178" x14ac:dyDescent="0.4">
      <c r="G3299" s="36"/>
      <c r="FV3299" s="24"/>
    </row>
    <row r="3300" spans="7:178" x14ac:dyDescent="0.4">
      <c r="G3300" s="36"/>
      <c r="FV3300" s="24"/>
    </row>
    <row r="3301" spans="7:178" x14ac:dyDescent="0.4">
      <c r="G3301" s="36"/>
      <c r="FV3301" s="24"/>
    </row>
    <row r="3302" spans="7:178" x14ac:dyDescent="0.4">
      <c r="G3302" s="36"/>
      <c r="FV3302" s="24"/>
    </row>
    <row r="3303" spans="7:178" x14ac:dyDescent="0.4">
      <c r="G3303" s="36"/>
      <c r="FV3303" s="24"/>
    </row>
    <row r="3304" spans="7:178" x14ac:dyDescent="0.4">
      <c r="G3304" s="36"/>
      <c r="FV3304" s="24"/>
    </row>
    <row r="3305" spans="7:178" x14ac:dyDescent="0.4">
      <c r="G3305" s="36"/>
      <c r="FV3305" s="24"/>
    </row>
    <row r="3306" spans="7:178" x14ac:dyDescent="0.4">
      <c r="G3306" s="36"/>
      <c r="FV3306" s="24"/>
    </row>
    <row r="3307" spans="7:178" x14ac:dyDescent="0.4">
      <c r="G3307" s="36"/>
      <c r="FV3307" s="24"/>
    </row>
    <row r="3308" spans="7:178" x14ac:dyDescent="0.4">
      <c r="G3308" s="36"/>
      <c r="FV3308" s="24"/>
    </row>
    <row r="3309" spans="7:178" x14ac:dyDescent="0.4">
      <c r="G3309" s="36"/>
      <c r="FV3309" s="24"/>
    </row>
    <row r="3310" spans="7:178" x14ac:dyDescent="0.4">
      <c r="G3310" s="36"/>
      <c r="FV3310" s="24"/>
    </row>
    <row r="3311" spans="7:178" x14ac:dyDescent="0.4">
      <c r="G3311" s="36"/>
      <c r="FV3311" s="24"/>
    </row>
    <row r="3312" spans="7:178" x14ac:dyDescent="0.4">
      <c r="G3312" s="36"/>
      <c r="FV3312" s="24"/>
    </row>
    <row r="3313" spans="7:178" x14ac:dyDescent="0.4">
      <c r="G3313" s="36"/>
      <c r="FV3313" s="24"/>
    </row>
    <row r="3314" spans="7:178" x14ac:dyDescent="0.4">
      <c r="G3314" s="36"/>
      <c r="FV3314" s="24"/>
    </row>
    <row r="3315" spans="7:178" x14ac:dyDescent="0.4">
      <c r="G3315" s="36"/>
      <c r="FV3315" s="24"/>
    </row>
    <row r="3316" spans="7:178" x14ac:dyDescent="0.4">
      <c r="G3316" s="36"/>
      <c r="FV3316" s="24"/>
    </row>
    <row r="3317" spans="7:178" x14ac:dyDescent="0.4">
      <c r="G3317" s="36"/>
      <c r="FV3317" s="24"/>
    </row>
    <row r="3318" spans="7:178" x14ac:dyDescent="0.4">
      <c r="G3318" s="36"/>
      <c r="FV3318" s="24"/>
    </row>
    <row r="3319" spans="7:178" x14ac:dyDescent="0.4">
      <c r="G3319" s="36"/>
      <c r="FV3319" s="24"/>
    </row>
    <row r="3320" spans="7:178" x14ac:dyDescent="0.4">
      <c r="G3320" s="36"/>
      <c r="FV3320" s="24"/>
    </row>
    <row r="3321" spans="7:178" x14ac:dyDescent="0.4">
      <c r="G3321" s="36"/>
      <c r="FV3321" s="24"/>
    </row>
    <row r="3322" spans="7:178" x14ac:dyDescent="0.4">
      <c r="G3322" s="36"/>
      <c r="FV3322" s="24"/>
    </row>
    <row r="3323" spans="7:178" x14ac:dyDescent="0.4">
      <c r="G3323" s="36"/>
      <c r="FV3323" s="24"/>
    </row>
    <row r="3324" spans="7:178" x14ac:dyDescent="0.4">
      <c r="G3324" s="36"/>
      <c r="FV3324" s="24"/>
    </row>
    <row r="3325" spans="7:178" x14ac:dyDescent="0.4">
      <c r="G3325" s="36"/>
      <c r="FV3325" s="24"/>
    </row>
    <row r="3326" spans="7:178" x14ac:dyDescent="0.4">
      <c r="G3326" s="36"/>
      <c r="FV3326" s="24"/>
    </row>
    <row r="3327" spans="7:178" x14ac:dyDescent="0.4">
      <c r="G3327" s="36"/>
      <c r="FV3327" s="24"/>
    </row>
    <row r="3328" spans="7:178" x14ac:dyDescent="0.4">
      <c r="G3328" s="36"/>
      <c r="FV3328" s="24"/>
    </row>
    <row r="3329" spans="7:178" x14ac:dyDescent="0.4">
      <c r="G3329" s="36"/>
      <c r="FV3329" s="24"/>
    </row>
    <row r="3330" spans="7:178" x14ac:dyDescent="0.4">
      <c r="G3330" s="36"/>
      <c r="FV3330" s="24"/>
    </row>
    <row r="3331" spans="7:178" x14ac:dyDescent="0.4">
      <c r="G3331" s="36"/>
      <c r="FV3331" s="24"/>
    </row>
    <row r="3332" spans="7:178" x14ac:dyDescent="0.4">
      <c r="G3332" s="36"/>
      <c r="FV3332" s="24"/>
    </row>
    <row r="3333" spans="7:178" x14ac:dyDescent="0.4">
      <c r="G3333" s="36"/>
      <c r="FV3333" s="24"/>
    </row>
    <row r="3334" spans="7:178" x14ac:dyDescent="0.4">
      <c r="G3334" s="36"/>
      <c r="FV3334" s="24"/>
    </row>
    <row r="3335" spans="7:178" x14ac:dyDescent="0.4">
      <c r="G3335" s="36"/>
      <c r="FV3335" s="24"/>
    </row>
    <row r="3336" spans="7:178" x14ac:dyDescent="0.4">
      <c r="G3336" s="36"/>
      <c r="FV3336" s="24"/>
    </row>
    <row r="3337" spans="7:178" x14ac:dyDescent="0.4">
      <c r="G3337" s="36"/>
      <c r="FV3337" s="24"/>
    </row>
    <row r="3338" spans="7:178" x14ac:dyDescent="0.4">
      <c r="G3338" s="36"/>
      <c r="FV3338" s="24"/>
    </row>
    <row r="3339" spans="7:178" x14ac:dyDescent="0.4">
      <c r="G3339" s="36"/>
      <c r="FV3339" s="24"/>
    </row>
    <row r="3340" spans="7:178" x14ac:dyDescent="0.4">
      <c r="G3340" s="36"/>
      <c r="FV3340" s="24"/>
    </row>
    <row r="3341" spans="7:178" x14ac:dyDescent="0.4">
      <c r="G3341" s="36"/>
      <c r="FV3341" s="24"/>
    </row>
    <row r="3342" spans="7:178" x14ac:dyDescent="0.4">
      <c r="G3342" s="36"/>
      <c r="FV3342" s="24"/>
    </row>
    <row r="3343" spans="7:178" x14ac:dyDescent="0.4">
      <c r="G3343" s="36"/>
      <c r="FV3343" s="24"/>
    </row>
    <row r="3344" spans="7:178" x14ac:dyDescent="0.4">
      <c r="G3344" s="36"/>
      <c r="FV3344" s="24"/>
    </row>
    <row r="3345" spans="7:178" x14ac:dyDescent="0.4">
      <c r="G3345" s="36"/>
      <c r="FV3345" s="24"/>
    </row>
    <row r="3346" spans="7:178" x14ac:dyDescent="0.4">
      <c r="G3346" s="36"/>
      <c r="FV3346" s="24"/>
    </row>
    <row r="3347" spans="7:178" x14ac:dyDescent="0.4">
      <c r="G3347" s="36"/>
      <c r="FV3347" s="24"/>
    </row>
    <row r="3348" spans="7:178" x14ac:dyDescent="0.4">
      <c r="G3348" s="36"/>
      <c r="FV3348" s="24"/>
    </row>
    <row r="3349" spans="7:178" x14ac:dyDescent="0.4">
      <c r="G3349" s="36"/>
      <c r="FV3349" s="24"/>
    </row>
    <row r="3350" spans="7:178" x14ac:dyDescent="0.4">
      <c r="G3350" s="36"/>
      <c r="FV3350" s="24"/>
    </row>
    <row r="3351" spans="7:178" x14ac:dyDescent="0.4">
      <c r="G3351" s="36"/>
      <c r="FV3351" s="24"/>
    </row>
    <row r="3352" spans="7:178" x14ac:dyDescent="0.4">
      <c r="G3352" s="36"/>
      <c r="FV3352" s="24"/>
    </row>
    <row r="3353" spans="7:178" x14ac:dyDescent="0.4">
      <c r="G3353" s="36"/>
      <c r="FV3353" s="24"/>
    </row>
    <row r="3354" spans="7:178" x14ac:dyDescent="0.4">
      <c r="G3354" s="36"/>
      <c r="FV3354" s="24"/>
    </row>
    <row r="3355" spans="7:178" x14ac:dyDescent="0.4">
      <c r="G3355" s="36"/>
      <c r="FV3355" s="24"/>
    </row>
    <row r="3356" spans="7:178" x14ac:dyDescent="0.4">
      <c r="G3356" s="36"/>
      <c r="FV3356" s="24"/>
    </row>
    <row r="3357" spans="7:178" x14ac:dyDescent="0.4">
      <c r="G3357" s="36"/>
      <c r="FV3357" s="24"/>
    </row>
    <row r="3358" spans="7:178" x14ac:dyDescent="0.4">
      <c r="G3358" s="36"/>
      <c r="FV3358" s="24"/>
    </row>
    <row r="3359" spans="7:178" x14ac:dyDescent="0.4">
      <c r="G3359" s="36"/>
      <c r="FV3359" s="24"/>
    </row>
    <row r="3360" spans="7:178" x14ac:dyDescent="0.4">
      <c r="G3360" s="36"/>
      <c r="FV3360" s="24"/>
    </row>
    <row r="3361" spans="7:178" x14ac:dyDescent="0.4">
      <c r="G3361" s="36"/>
      <c r="FV3361" s="24"/>
    </row>
    <row r="3362" spans="7:178" x14ac:dyDescent="0.4">
      <c r="G3362" s="36"/>
      <c r="FV3362" s="24"/>
    </row>
    <row r="3363" spans="7:178" x14ac:dyDescent="0.4">
      <c r="G3363" s="36"/>
      <c r="FV3363" s="24"/>
    </row>
    <row r="3364" spans="7:178" x14ac:dyDescent="0.4">
      <c r="G3364" s="36"/>
      <c r="FV3364" s="24"/>
    </row>
    <row r="3365" spans="7:178" x14ac:dyDescent="0.4">
      <c r="G3365" s="36"/>
      <c r="FV3365" s="24"/>
    </row>
    <row r="3366" spans="7:178" x14ac:dyDescent="0.4">
      <c r="G3366" s="36"/>
      <c r="FV3366" s="24"/>
    </row>
    <row r="3367" spans="7:178" x14ac:dyDescent="0.4">
      <c r="G3367" s="36"/>
      <c r="FV3367" s="24"/>
    </row>
    <row r="3368" spans="7:178" x14ac:dyDescent="0.4">
      <c r="G3368" s="36"/>
      <c r="FV3368" s="24"/>
    </row>
    <row r="3369" spans="7:178" x14ac:dyDescent="0.4">
      <c r="G3369" s="36"/>
      <c r="FV3369" s="24"/>
    </row>
    <row r="3370" spans="7:178" x14ac:dyDescent="0.4">
      <c r="G3370" s="36"/>
      <c r="FV3370" s="24"/>
    </row>
    <row r="3371" spans="7:178" x14ac:dyDescent="0.4">
      <c r="G3371" s="36"/>
      <c r="FV3371" s="24"/>
    </row>
    <row r="3372" spans="7:178" x14ac:dyDescent="0.4">
      <c r="G3372" s="36"/>
      <c r="FV3372" s="24"/>
    </row>
    <row r="3373" spans="7:178" x14ac:dyDescent="0.4">
      <c r="G3373" s="36"/>
      <c r="FV3373" s="24"/>
    </row>
    <row r="3374" spans="7:178" x14ac:dyDescent="0.4">
      <c r="G3374" s="36"/>
      <c r="FV3374" s="24"/>
    </row>
    <row r="3375" spans="7:178" x14ac:dyDescent="0.4">
      <c r="G3375" s="36"/>
      <c r="FV3375" s="24"/>
    </row>
    <row r="3376" spans="7:178" x14ac:dyDescent="0.4">
      <c r="G3376" s="36"/>
      <c r="FV3376" s="24"/>
    </row>
    <row r="3377" spans="7:178" x14ac:dyDescent="0.4">
      <c r="G3377" s="36"/>
      <c r="FV3377" s="24"/>
    </row>
    <row r="3378" spans="7:178" x14ac:dyDescent="0.4">
      <c r="G3378" s="36"/>
      <c r="FV3378" s="24"/>
    </row>
    <row r="3379" spans="7:178" x14ac:dyDescent="0.4">
      <c r="G3379" s="36"/>
      <c r="FV3379" s="24"/>
    </row>
    <row r="3380" spans="7:178" x14ac:dyDescent="0.4">
      <c r="G3380" s="36"/>
      <c r="FV3380" s="24"/>
    </row>
    <row r="3381" spans="7:178" x14ac:dyDescent="0.4">
      <c r="G3381" s="36"/>
      <c r="FV3381" s="24"/>
    </row>
    <row r="3382" spans="7:178" x14ac:dyDescent="0.4">
      <c r="G3382" s="36"/>
      <c r="FV3382" s="24"/>
    </row>
    <row r="3383" spans="7:178" x14ac:dyDescent="0.4">
      <c r="G3383" s="36"/>
      <c r="FV3383" s="24"/>
    </row>
    <row r="3384" spans="7:178" x14ac:dyDescent="0.4">
      <c r="G3384" s="36"/>
      <c r="FV3384" s="24"/>
    </row>
    <row r="3385" spans="7:178" x14ac:dyDescent="0.4">
      <c r="G3385" s="36"/>
      <c r="FV3385" s="24"/>
    </row>
    <row r="3386" spans="7:178" x14ac:dyDescent="0.4">
      <c r="G3386" s="36"/>
      <c r="FV3386" s="24"/>
    </row>
    <row r="3387" spans="7:178" x14ac:dyDescent="0.4">
      <c r="G3387" s="36"/>
      <c r="FV3387" s="24"/>
    </row>
    <row r="3388" spans="7:178" x14ac:dyDescent="0.4">
      <c r="G3388" s="36"/>
      <c r="FV3388" s="24"/>
    </row>
    <row r="3389" spans="7:178" x14ac:dyDescent="0.4">
      <c r="G3389" s="36"/>
      <c r="FV3389" s="24"/>
    </row>
    <row r="3390" spans="7:178" x14ac:dyDescent="0.4">
      <c r="G3390" s="36"/>
      <c r="FV3390" s="24"/>
    </row>
    <row r="3391" spans="7:178" x14ac:dyDescent="0.4">
      <c r="G3391" s="36"/>
      <c r="FV3391" s="24"/>
    </row>
    <row r="3392" spans="7:178" x14ac:dyDescent="0.4">
      <c r="G3392" s="36"/>
      <c r="FV3392" s="24"/>
    </row>
    <row r="3393" spans="7:178" x14ac:dyDescent="0.4">
      <c r="G3393" s="36"/>
      <c r="FV3393" s="24"/>
    </row>
    <row r="3394" spans="7:178" x14ac:dyDescent="0.4">
      <c r="G3394" s="36"/>
      <c r="FV3394" s="24"/>
    </row>
    <row r="3395" spans="7:178" x14ac:dyDescent="0.4">
      <c r="G3395" s="36"/>
      <c r="FV3395" s="24"/>
    </row>
    <row r="3396" spans="7:178" x14ac:dyDescent="0.4">
      <c r="G3396" s="36"/>
      <c r="FV3396" s="24"/>
    </row>
    <row r="3397" spans="7:178" x14ac:dyDescent="0.4">
      <c r="G3397" s="36"/>
      <c r="FV3397" s="24"/>
    </row>
    <row r="3398" spans="7:178" x14ac:dyDescent="0.4">
      <c r="G3398" s="36"/>
      <c r="FV3398" s="24"/>
    </row>
    <row r="3399" spans="7:178" x14ac:dyDescent="0.4">
      <c r="G3399" s="36"/>
      <c r="FV3399" s="24"/>
    </row>
    <row r="3400" spans="7:178" x14ac:dyDescent="0.4">
      <c r="G3400" s="36"/>
      <c r="FV3400" s="24"/>
    </row>
    <row r="3401" spans="7:178" x14ac:dyDescent="0.4">
      <c r="G3401" s="36"/>
      <c r="FV3401" s="24"/>
    </row>
    <row r="3402" spans="7:178" x14ac:dyDescent="0.4">
      <c r="G3402" s="36"/>
      <c r="FV3402" s="24"/>
    </row>
    <row r="3403" spans="7:178" x14ac:dyDescent="0.4">
      <c r="G3403" s="36"/>
      <c r="FV3403" s="24"/>
    </row>
    <row r="3404" spans="7:178" x14ac:dyDescent="0.4">
      <c r="G3404" s="36"/>
      <c r="FV3404" s="24"/>
    </row>
    <row r="3405" spans="7:178" x14ac:dyDescent="0.4">
      <c r="G3405" s="36"/>
      <c r="FV3405" s="24"/>
    </row>
    <row r="3406" spans="7:178" x14ac:dyDescent="0.4">
      <c r="G3406" s="36"/>
      <c r="FV3406" s="24"/>
    </row>
    <row r="3407" spans="7:178" x14ac:dyDescent="0.4">
      <c r="G3407" s="36"/>
      <c r="FV3407" s="24"/>
    </row>
    <row r="3408" spans="7:178" x14ac:dyDescent="0.4">
      <c r="G3408" s="36"/>
      <c r="FV3408" s="24"/>
    </row>
    <row r="3409" spans="7:178" x14ac:dyDescent="0.4">
      <c r="G3409" s="36"/>
      <c r="FV3409" s="24"/>
    </row>
    <row r="3410" spans="7:178" x14ac:dyDescent="0.4">
      <c r="G3410" s="36"/>
      <c r="FV3410" s="24"/>
    </row>
    <row r="3411" spans="7:178" x14ac:dyDescent="0.4">
      <c r="G3411" s="36"/>
      <c r="FV3411" s="24"/>
    </row>
    <row r="3412" spans="7:178" x14ac:dyDescent="0.4">
      <c r="G3412" s="36"/>
      <c r="FV3412" s="24"/>
    </row>
    <row r="3413" spans="7:178" x14ac:dyDescent="0.4">
      <c r="G3413" s="36"/>
      <c r="FV3413" s="24"/>
    </row>
    <row r="3414" spans="7:178" x14ac:dyDescent="0.4">
      <c r="G3414" s="36"/>
      <c r="FV3414" s="24"/>
    </row>
    <row r="3415" spans="7:178" x14ac:dyDescent="0.4">
      <c r="G3415" s="36"/>
      <c r="FV3415" s="24"/>
    </row>
    <row r="3416" spans="7:178" x14ac:dyDescent="0.4">
      <c r="G3416" s="36"/>
      <c r="FV3416" s="24"/>
    </row>
    <row r="3417" spans="7:178" x14ac:dyDescent="0.4">
      <c r="G3417" s="36"/>
      <c r="FV3417" s="24"/>
    </row>
    <row r="3418" spans="7:178" x14ac:dyDescent="0.4">
      <c r="G3418" s="36"/>
      <c r="FV3418" s="24"/>
    </row>
    <row r="3419" spans="7:178" x14ac:dyDescent="0.4">
      <c r="G3419" s="36"/>
      <c r="FV3419" s="24"/>
    </row>
    <row r="3420" spans="7:178" x14ac:dyDescent="0.4">
      <c r="G3420" s="36"/>
      <c r="FV3420" s="24"/>
    </row>
    <row r="3421" spans="7:178" x14ac:dyDescent="0.4">
      <c r="G3421" s="36"/>
      <c r="FV3421" s="24"/>
    </row>
    <row r="3422" spans="7:178" x14ac:dyDescent="0.4">
      <c r="G3422" s="36"/>
      <c r="FV3422" s="24"/>
    </row>
    <row r="3423" spans="7:178" x14ac:dyDescent="0.4">
      <c r="G3423" s="36"/>
      <c r="FV3423" s="24"/>
    </row>
    <row r="3424" spans="7:178" x14ac:dyDescent="0.4">
      <c r="G3424" s="36"/>
      <c r="FV3424" s="24"/>
    </row>
    <row r="3425" spans="7:178" x14ac:dyDescent="0.4">
      <c r="G3425" s="36"/>
      <c r="FV3425" s="24"/>
    </row>
    <row r="3426" spans="7:178" x14ac:dyDescent="0.4">
      <c r="G3426" s="36"/>
      <c r="FV3426" s="24"/>
    </row>
    <row r="3427" spans="7:178" x14ac:dyDescent="0.4">
      <c r="G3427" s="36"/>
      <c r="FV3427" s="24"/>
    </row>
    <row r="3428" spans="7:178" x14ac:dyDescent="0.4">
      <c r="G3428" s="36"/>
      <c r="FV3428" s="24"/>
    </row>
    <row r="3429" spans="7:178" x14ac:dyDescent="0.4">
      <c r="G3429" s="36"/>
      <c r="FV3429" s="24"/>
    </row>
    <row r="3430" spans="7:178" x14ac:dyDescent="0.4">
      <c r="G3430" s="36"/>
      <c r="FV3430" s="24"/>
    </row>
    <row r="3431" spans="7:178" x14ac:dyDescent="0.4">
      <c r="G3431" s="36"/>
      <c r="FV3431" s="24"/>
    </row>
    <row r="3432" spans="7:178" x14ac:dyDescent="0.4">
      <c r="G3432" s="36"/>
      <c r="FV3432" s="24"/>
    </row>
    <row r="3433" spans="7:178" x14ac:dyDescent="0.4">
      <c r="G3433" s="36"/>
      <c r="FV3433" s="24"/>
    </row>
    <row r="3434" spans="7:178" x14ac:dyDescent="0.4">
      <c r="G3434" s="36"/>
      <c r="FV3434" s="24"/>
    </row>
    <row r="3435" spans="7:178" x14ac:dyDescent="0.4">
      <c r="G3435" s="36"/>
      <c r="FV3435" s="24"/>
    </row>
    <row r="3436" spans="7:178" x14ac:dyDescent="0.4">
      <c r="G3436" s="36"/>
      <c r="FV3436" s="24"/>
    </row>
    <row r="3437" spans="7:178" x14ac:dyDescent="0.4">
      <c r="G3437" s="36"/>
      <c r="FV3437" s="24"/>
    </row>
    <row r="3438" spans="7:178" x14ac:dyDescent="0.4">
      <c r="G3438" s="36"/>
      <c r="FV3438" s="24"/>
    </row>
    <row r="3439" spans="7:178" x14ac:dyDescent="0.4">
      <c r="G3439" s="36"/>
      <c r="FV3439" s="24"/>
    </row>
    <row r="3440" spans="7:178" x14ac:dyDescent="0.4">
      <c r="G3440" s="36"/>
      <c r="FV3440" s="24"/>
    </row>
    <row r="3441" spans="7:178" x14ac:dyDescent="0.4">
      <c r="G3441" s="36"/>
      <c r="FV3441" s="24"/>
    </row>
    <row r="3442" spans="7:178" x14ac:dyDescent="0.4">
      <c r="G3442" s="36"/>
      <c r="FV3442" s="24"/>
    </row>
    <row r="3443" spans="7:178" x14ac:dyDescent="0.4">
      <c r="G3443" s="36"/>
      <c r="FV3443" s="24"/>
    </row>
    <row r="3444" spans="7:178" x14ac:dyDescent="0.4">
      <c r="G3444" s="36"/>
      <c r="FV3444" s="24"/>
    </row>
    <row r="3445" spans="7:178" x14ac:dyDescent="0.4">
      <c r="G3445" s="36"/>
      <c r="FV3445" s="24"/>
    </row>
    <row r="3446" spans="7:178" x14ac:dyDescent="0.4">
      <c r="G3446" s="36"/>
      <c r="FV3446" s="24"/>
    </row>
    <row r="3447" spans="7:178" x14ac:dyDescent="0.4">
      <c r="G3447" s="36"/>
      <c r="FV3447" s="24"/>
    </row>
    <row r="3448" spans="7:178" x14ac:dyDescent="0.4">
      <c r="G3448" s="36"/>
      <c r="FV3448" s="24"/>
    </row>
    <row r="3449" spans="7:178" x14ac:dyDescent="0.4">
      <c r="G3449" s="36"/>
      <c r="FV3449" s="24"/>
    </row>
    <row r="3450" spans="7:178" x14ac:dyDescent="0.4">
      <c r="G3450" s="36"/>
      <c r="FV3450" s="24"/>
    </row>
    <row r="3451" spans="7:178" x14ac:dyDescent="0.4">
      <c r="G3451" s="36"/>
      <c r="FV3451" s="24"/>
    </row>
    <row r="3452" spans="7:178" x14ac:dyDescent="0.4">
      <c r="G3452" s="36"/>
      <c r="FV3452" s="24"/>
    </row>
    <row r="3453" spans="7:178" x14ac:dyDescent="0.4">
      <c r="G3453" s="36"/>
      <c r="FV3453" s="24"/>
    </row>
    <row r="3454" spans="7:178" x14ac:dyDescent="0.4">
      <c r="G3454" s="36"/>
      <c r="FV3454" s="24"/>
    </row>
    <row r="3455" spans="7:178" x14ac:dyDescent="0.4">
      <c r="G3455" s="36"/>
      <c r="FV3455" s="24"/>
    </row>
    <row r="3456" spans="7:178" x14ac:dyDescent="0.4">
      <c r="G3456" s="36"/>
      <c r="FV3456" s="24"/>
    </row>
    <row r="3457" spans="7:178" x14ac:dyDescent="0.4">
      <c r="G3457" s="36"/>
      <c r="FV3457" s="24"/>
    </row>
    <row r="3458" spans="7:178" x14ac:dyDescent="0.4">
      <c r="G3458" s="36"/>
      <c r="FV3458" s="24"/>
    </row>
    <row r="3459" spans="7:178" x14ac:dyDescent="0.4">
      <c r="G3459" s="36"/>
      <c r="FV3459" s="24"/>
    </row>
    <row r="3460" spans="7:178" x14ac:dyDescent="0.4">
      <c r="G3460" s="36"/>
      <c r="FV3460" s="24"/>
    </row>
    <row r="3461" spans="7:178" x14ac:dyDescent="0.4">
      <c r="G3461" s="36"/>
      <c r="FV3461" s="24"/>
    </row>
    <row r="3462" spans="7:178" x14ac:dyDescent="0.4">
      <c r="G3462" s="36"/>
      <c r="FV3462" s="24"/>
    </row>
    <row r="3463" spans="7:178" x14ac:dyDescent="0.4">
      <c r="G3463" s="36"/>
      <c r="FV3463" s="24"/>
    </row>
    <row r="3464" spans="7:178" x14ac:dyDescent="0.4">
      <c r="G3464" s="36"/>
      <c r="FV3464" s="24"/>
    </row>
    <row r="3465" spans="7:178" x14ac:dyDescent="0.4">
      <c r="G3465" s="36"/>
      <c r="FV3465" s="24"/>
    </row>
    <row r="3466" spans="7:178" x14ac:dyDescent="0.4">
      <c r="G3466" s="36"/>
      <c r="FV3466" s="24"/>
    </row>
    <row r="3467" spans="7:178" x14ac:dyDescent="0.4">
      <c r="G3467" s="36"/>
      <c r="FV3467" s="24"/>
    </row>
    <row r="3468" spans="7:178" x14ac:dyDescent="0.4">
      <c r="G3468" s="36"/>
      <c r="FV3468" s="24"/>
    </row>
    <row r="3469" spans="7:178" x14ac:dyDescent="0.4">
      <c r="G3469" s="36"/>
      <c r="FV3469" s="24"/>
    </row>
    <row r="3470" spans="7:178" x14ac:dyDescent="0.4">
      <c r="G3470" s="36"/>
      <c r="FV3470" s="24"/>
    </row>
    <row r="3471" spans="7:178" x14ac:dyDescent="0.4">
      <c r="G3471" s="36"/>
      <c r="FV3471" s="24"/>
    </row>
    <row r="3472" spans="7:178" x14ac:dyDescent="0.4">
      <c r="G3472" s="36"/>
      <c r="FV3472" s="24"/>
    </row>
    <row r="3473" spans="7:178" x14ac:dyDescent="0.4">
      <c r="G3473" s="36"/>
      <c r="FV3473" s="24"/>
    </row>
    <row r="3474" spans="7:178" x14ac:dyDescent="0.4">
      <c r="G3474" s="36"/>
      <c r="FV3474" s="24"/>
    </row>
    <row r="3475" spans="7:178" x14ac:dyDescent="0.4">
      <c r="G3475" s="36"/>
      <c r="FV3475" s="24"/>
    </row>
    <row r="3476" spans="7:178" x14ac:dyDescent="0.4">
      <c r="G3476" s="36"/>
      <c r="FV3476" s="24"/>
    </row>
    <row r="3477" spans="7:178" x14ac:dyDescent="0.4">
      <c r="G3477" s="36"/>
      <c r="FV3477" s="24"/>
    </row>
    <row r="3478" spans="7:178" x14ac:dyDescent="0.4">
      <c r="G3478" s="36"/>
      <c r="FV3478" s="24"/>
    </row>
    <row r="3479" spans="7:178" x14ac:dyDescent="0.4">
      <c r="G3479" s="36"/>
      <c r="FV3479" s="24"/>
    </row>
    <row r="3480" spans="7:178" x14ac:dyDescent="0.4">
      <c r="G3480" s="36"/>
      <c r="FV3480" s="24"/>
    </row>
    <row r="3481" spans="7:178" x14ac:dyDescent="0.4">
      <c r="G3481" s="36"/>
      <c r="FV3481" s="24"/>
    </row>
    <row r="3482" spans="7:178" x14ac:dyDescent="0.4">
      <c r="G3482" s="36"/>
      <c r="FV3482" s="24"/>
    </row>
    <row r="3483" spans="7:178" x14ac:dyDescent="0.4">
      <c r="G3483" s="36"/>
      <c r="FV3483" s="24"/>
    </row>
    <row r="3484" spans="7:178" x14ac:dyDescent="0.4">
      <c r="G3484" s="36"/>
      <c r="FV3484" s="24"/>
    </row>
    <row r="3485" spans="7:178" x14ac:dyDescent="0.4">
      <c r="G3485" s="36"/>
      <c r="FV3485" s="24"/>
    </row>
    <row r="3486" spans="7:178" x14ac:dyDescent="0.4">
      <c r="G3486" s="36"/>
      <c r="FV3486" s="24"/>
    </row>
    <row r="3487" spans="7:178" x14ac:dyDescent="0.4">
      <c r="G3487" s="36"/>
      <c r="FV3487" s="24"/>
    </row>
    <row r="3488" spans="7:178" x14ac:dyDescent="0.4">
      <c r="G3488" s="36"/>
      <c r="FV3488" s="24"/>
    </row>
    <row r="3489" spans="7:178" x14ac:dyDescent="0.4">
      <c r="G3489" s="36"/>
      <c r="FV3489" s="24"/>
    </row>
    <row r="3490" spans="7:178" x14ac:dyDescent="0.4">
      <c r="G3490" s="36"/>
      <c r="FV3490" s="24"/>
    </row>
    <row r="3491" spans="7:178" x14ac:dyDescent="0.4">
      <c r="G3491" s="36"/>
      <c r="FV3491" s="24"/>
    </row>
    <row r="3492" spans="7:178" x14ac:dyDescent="0.4">
      <c r="G3492" s="36"/>
      <c r="FV3492" s="24"/>
    </row>
    <row r="3493" spans="7:178" x14ac:dyDescent="0.4">
      <c r="G3493" s="36"/>
      <c r="FV3493" s="24"/>
    </row>
    <row r="3494" spans="7:178" x14ac:dyDescent="0.4">
      <c r="G3494" s="36"/>
      <c r="FV3494" s="24"/>
    </row>
    <row r="3495" spans="7:178" x14ac:dyDescent="0.4">
      <c r="G3495" s="36"/>
      <c r="FV3495" s="24"/>
    </row>
    <row r="3496" spans="7:178" x14ac:dyDescent="0.4">
      <c r="G3496" s="36"/>
      <c r="FV3496" s="24"/>
    </row>
    <row r="3497" spans="7:178" x14ac:dyDescent="0.4">
      <c r="G3497" s="36"/>
      <c r="FV3497" s="24"/>
    </row>
    <row r="3498" spans="7:178" x14ac:dyDescent="0.4">
      <c r="G3498" s="36"/>
      <c r="FV3498" s="24"/>
    </row>
    <row r="3499" spans="7:178" x14ac:dyDescent="0.4">
      <c r="G3499" s="36"/>
      <c r="FV3499" s="24"/>
    </row>
    <row r="3500" spans="7:178" x14ac:dyDescent="0.4">
      <c r="G3500" s="36"/>
      <c r="FV3500" s="24"/>
    </row>
    <row r="3501" spans="7:178" x14ac:dyDescent="0.4">
      <c r="G3501" s="36"/>
      <c r="FV3501" s="24"/>
    </row>
    <row r="3502" spans="7:178" x14ac:dyDescent="0.4">
      <c r="G3502" s="36"/>
      <c r="FV3502" s="24"/>
    </row>
    <row r="3503" spans="7:178" x14ac:dyDescent="0.4">
      <c r="G3503" s="36"/>
      <c r="FV3503" s="24"/>
    </row>
    <row r="3504" spans="7:178" x14ac:dyDescent="0.4">
      <c r="G3504" s="36"/>
      <c r="FV3504" s="24"/>
    </row>
    <row r="3505" spans="7:178" x14ac:dyDescent="0.4">
      <c r="G3505" s="36"/>
      <c r="FV3505" s="24"/>
    </row>
    <row r="3506" spans="7:178" x14ac:dyDescent="0.4">
      <c r="G3506" s="36"/>
      <c r="FV3506" s="24"/>
    </row>
    <row r="3507" spans="7:178" x14ac:dyDescent="0.4">
      <c r="G3507" s="36"/>
      <c r="FV3507" s="24"/>
    </row>
    <row r="3508" spans="7:178" x14ac:dyDescent="0.4">
      <c r="G3508" s="36"/>
      <c r="FV3508" s="24"/>
    </row>
    <row r="3509" spans="7:178" x14ac:dyDescent="0.4">
      <c r="G3509" s="36"/>
      <c r="FV3509" s="24"/>
    </row>
    <row r="3510" spans="7:178" x14ac:dyDescent="0.4">
      <c r="G3510" s="36"/>
      <c r="FV3510" s="24"/>
    </row>
    <row r="3511" spans="7:178" x14ac:dyDescent="0.4">
      <c r="G3511" s="36"/>
      <c r="FV3511" s="24"/>
    </row>
    <row r="3512" spans="7:178" x14ac:dyDescent="0.4">
      <c r="G3512" s="36"/>
      <c r="FV3512" s="24"/>
    </row>
    <row r="3513" spans="7:178" x14ac:dyDescent="0.4">
      <c r="G3513" s="36"/>
      <c r="FV3513" s="24"/>
    </row>
    <row r="3514" spans="7:178" x14ac:dyDescent="0.4">
      <c r="G3514" s="36"/>
      <c r="FV3514" s="24"/>
    </row>
    <row r="3515" spans="7:178" x14ac:dyDescent="0.4">
      <c r="G3515" s="36"/>
      <c r="FV3515" s="24"/>
    </row>
    <row r="3516" spans="7:178" x14ac:dyDescent="0.4">
      <c r="G3516" s="36"/>
      <c r="FV3516" s="24"/>
    </row>
    <row r="3517" spans="7:178" x14ac:dyDescent="0.4">
      <c r="G3517" s="36"/>
      <c r="FV3517" s="24"/>
    </row>
    <row r="3518" spans="7:178" x14ac:dyDescent="0.4">
      <c r="G3518" s="36"/>
      <c r="FV3518" s="24"/>
    </row>
    <row r="3519" spans="7:178" x14ac:dyDescent="0.4">
      <c r="G3519" s="36"/>
      <c r="FV3519" s="24"/>
    </row>
    <row r="3520" spans="7:178" x14ac:dyDescent="0.4">
      <c r="G3520" s="36"/>
      <c r="FV3520" s="24"/>
    </row>
    <row r="3521" spans="7:178" x14ac:dyDescent="0.4">
      <c r="G3521" s="36"/>
      <c r="FV3521" s="24"/>
    </row>
    <row r="3522" spans="7:178" x14ac:dyDescent="0.4">
      <c r="G3522" s="36"/>
      <c r="FV3522" s="24"/>
    </row>
    <row r="3523" spans="7:178" x14ac:dyDescent="0.4">
      <c r="G3523" s="36"/>
      <c r="FV3523" s="24"/>
    </row>
    <row r="3524" spans="7:178" x14ac:dyDescent="0.4">
      <c r="G3524" s="36"/>
      <c r="FV3524" s="24"/>
    </row>
    <row r="3525" spans="7:178" x14ac:dyDescent="0.4">
      <c r="G3525" s="36"/>
      <c r="FV3525" s="24"/>
    </row>
    <row r="3526" spans="7:178" x14ac:dyDescent="0.4">
      <c r="G3526" s="36"/>
      <c r="FV3526" s="24"/>
    </row>
    <row r="3527" spans="7:178" x14ac:dyDescent="0.4">
      <c r="G3527" s="36"/>
      <c r="FV3527" s="24"/>
    </row>
    <row r="3528" spans="7:178" x14ac:dyDescent="0.4">
      <c r="G3528" s="36"/>
      <c r="FV3528" s="24"/>
    </row>
    <row r="3529" spans="7:178" x14ac:dyDescent="0.4">
      <c r="G3529" s="36"/>
      <c r="FV3529" s="24"/>
    </row>
    <row r="3530" spans="7:178" x14ac:dyDescent="0.4">
      <c r="G3530" s="36"/>
      <c r="FV3530" s="24"/>
    </row>
    <row r="3531" spans="7:178" x14ac:dyDescent="0.4">
      <c r="G3531" s="36"/>
      <c r="FV3531" s="24"/>
    </row>
    <row r="3532" spans="7:178" x14ac:dyDescent="0.4">
      <c r="G3532" s="36"/>
      <c r="FV3532" s="24"/>
    </row>
    <row r="3533" spans="7:178" x14ac:dyDescent="0.4">
      <c r="G3533" s="36"/>
      <c r="FV3533" s="24"/>
    </row>
    <row r="3534" spans="7:178" x14ac:dyDescent="0.4">
      <c r="G3534" s="36"/>
      <c r="FV3534" s="24"/>
    </row>
    <row r="3535" spans="7:178" x14ac:dyDescent="0.4">
      <c r="G3535" s="36"/>
      <c r="FV3535" s="24"/>
    </row>
    <row r="3536" spans="7:178" x14ac:dyDescent="0.4">
      <c r="G3536" s="36"/>
      <c r="FV3536" s="24"/>
    </row>
    <row r="3537" spans="7:178" x14ac:dyDescent="0.4">
      <c r="G3537" s="36"/>
      <c r="FV3537" s="24"/>
    </row>
    <row r="3538" spans="7:178" x14ac:dyDescent="0.4">
      <c r="G3538" s="36"/>
      <c r="FV3538" s="24"/>
    </row>
    <row r="3539" spans="7:178" x14ac:dyDescent="0.4">
      <c r="G3539" s="36"/>
      <c r="FV3539" s="24"/>
    </row>
    <row r="3540" spans="7:178" x14ac:dyDescent="0.4">
      <c r="G3540" s="36"/>
      <c r="FV3540" s="24"/>
    </row>
    <row r="3541" spans="7:178" x14ac:dyDescent="0.4">
      <c r="G3541" s="36"/>
      <c r="FV3541" s="24"/>
    </row>
    <row r="3542" spans="7:178" x14ac:dyDescent="0.4">
      <c r="G3542" s="36"/>
      <c r="FV3542" s="24"/>
    </row>
    <row r="3543" spans="7:178" x14ac:dyDescent="0.4">
      <c r="G3543" s="36"/>
      <c r="FV3543" s="24"/>
    </row>
    <row r="3544" spans="7:178" x14ac:dyDescent="0.4">
      <c r="G3544" s="36"/>
      <c r="FV3544" s="24"/>
    </row>
    <row r="3545" spans="7:178" x14ac:dyDescent="0.4">
      <c r="G3545" s="36"/>
      <c r="FV3545" s="24"/>
    </row>
    <row r="3546" spans="7:178" x14ac:dyDescent="0.4">
      <c r="G3546" s="36"/>
      <c r="FV3546" s="24"/>
    </row>
    <row r="3547" spans="7:178" x14ac:dyDescent="0.4">
      <c r="G3547" s="36"/>
      <c r="FV3547" s="24"/>
    </row>
    <row r="3548" spans="7:178" x14ac:dyDescent="0.4">
      <c r="G3548" s="36"/>
      <c r="FV3548" s="24"/>
    </row>
    <row r="3549" spans="7:178" x14ac:dyDescent="0.4">
      <c r="G3549" s="36"/>
      <c r="FV3549" s="24"/>
    </row>
    <row r="3550" spans="7:178" x14ac:dyDescent="0.4">
      <c r="G3550" s="36"/>
      <c r="FV3550" s="24"/>
    </row>
    <row r="3551" spans="7:178" x14ac:dyDescent="0.4">
      <c r="G3551" s="36"/>
      <c r="FV3551" s="24"/>
    </row>
    <row r="3552" spans="7:178" x14ac:dyDescent="0.4">
      <c r="G3552" s="36"/>
      <c r="FV3552" s="24"/>
    </row>
    <row r="3553" spans="7:178" x14ac:dyDescent="0.4">
      <c r="G3553" s="36"/>
      <c r="FV3553" s="24"/>
    </row>
    <row r="3554" spans="7:178" x14ac:dyDescent="0.4">
      <c r="G3554" s="36"/>
      <c r="FV3554" s="24"/>
    </row>
    <row r="3555" spans="7:178" x14ac:dyDescent="0.4">
      <c r="G3555" s="36"/>
      <c r="FV3555" s="24"/>
    </row>
    <row r="3556" spans="7:178" x14ac:dyDescent="0.4">
      <c r="G3556" s="36"/>
      <c r="FV3556" s="24"/>
    </row>
    <row r="3557" spans="7:178" x14ac:dyDescent="0.4">
      <c r="G3557" s="36"/>
      <c r="FV3557" s="24"/>
    </row>
    <row r="3558" spans="7:178" x14ac:dyDescent="0.4">
      <c r="G3558" s="36"/>
      <c r="FV3558" s="24"/>
    </row>
    <row r="3559" spans="7:178" x14ac:dyDescent="0.4">
      <c r="G3559" s="36"/>
      <c r="FV3559" s="24"/>
    </row>
    <row r="3560" spans="7:178" x14ac:dyDescent="0.4">
      <c r="G3560" s="36"/>
      <c r="FV3560" s="24"/>
    </row>
    <row r="3561" spans="7:178" x14ac:dyDescent="0.4">
      <c r="G3561" s="36"/>
      <c r="FV3561" s="24"/>
    </row>
    <row r="3562" spans="7:178" x14ac:dyDescent="0.4">
      <c r="G3562" s="36"/>
      <c r="FV3562" s="24"/>
    </row>
    <row r="3563" spans="7:178" x14ac:dyDescent="0.4">
      <c r="G3563" s="36"/>
      <c r="FV3563" s="24"/>
    </row>
    <row r="3564" spans="7:178" x14ac:dyDescent="0.4">
      <c r="G3564" s="36"/>
      <c r="FV3564" s="24"/>
    </row>
    <row r="3565" spans="7:178" x14ac:dyDescent="0.4">
      <c r="G3565" s="36"/>
      <c r="FV3565" s="24"/>
    </row>
    <row r="3566" spans="7:178" x14ac:dyDescent="0.4">
      <c r="G3566" s="36"/>
      <c r="FV3566" s="24"/>
    </row>
    <row r="3567" spans="7:178" x14ac:dyDescent="0.4">
      <c r="G3567" s="36"/>
      <c r="FV3567" s="24"/>
    </row>
    <row r="3568" spans="7:178" x14ac:dyDescent="0.4">
      <c r="G3568" s="36"/>
      <c r="BH3568" s="31"/>
      <c r="FV3568" s="24"/>
    </row>
    <row r="3569" spans="7:178" x14ac:dyDescent="0.4">
      <c r="G3569" s="36"/>
      <c r="FV3569" s="24"/>
    </row>
    <row r="3570" spans="7:178" x14ac:dyDescent="0.4">
      <c r="G3570" s="36"/>
      <c r="FV3570" s="24"/>
    </row>
    <row r="3571" spans="7:178" x14ac:dyDescent="0.4">
      <c r="G3571" s="36"/>
      <c r="FV3571" s="24"/>
    </row>
    <row r="3572" spans="7:178" x14ac:dyDescent="0.4">
      <c r="G3572" s="36"/>
      <c r="FV3572" s="24"/>
    </row>
    <row r="3573" spans="7:178" x14ac:dyDescent="0.4">
      <c r="G3573" s="36"/>
      <c r="FV3573" s="24"/>
    </row>
    <row r="3574" spans="7:178" x14ac:dyDescent="0.4">
      <c r="G3574" s="36"/>
      <c r="FV3574" s="24"/>
    </row>
    <row r="3575" spans="7:178" x14ac:dyDescent="0.4">
      <c r="G3575" s="36"/>
      <c r="FV3575" s="24"/>
    </row>
    <row r="3576" spans="7:178" x14ac:dyDescent="0.4">
      <c r="G3576" s="36"/>
      <c r="FV3576" s="24"/>
    </row>
    <row r="3577" spans="7:178" x14ac:dyDescent="0.4">
      <c r="G3577" s="36"/>
      <c r="FV3577" s="24"/>
    </row>
    <row r="3578" spans="7:178" x14ac:dyDescent="0.4">
      <c r="G3578" s="36"/>
      <c r="FV3578" s="24"/>
    </row>
    <row r="3579" spans="7:178" x14ac:dyDescent="0.4">
      <c r="G3579" s="36"/>
      <c r="FV3579" s="24"/>
    </row>
    <row r="3580" spans="7:178" x14ac:dyDescent="0.4">
      <c r="G3580" s="36"/>
      <c r="FV3580" s="24"/>
    </row>
    <row r="3581" spans="7:178" x14ac:dyDescent="0.4">
      <c r="G3581" s="36"/>
      <c r="FV3581" s="24"/>
    </row>
    <row r="3582" spans="7:178" x14ac:dyDescent="0.4">
      <c r="G3582" s="36"/>
      <c r="FV3582" s="24"/>
    </row>
    <row r="3583" spans="7:178" x14ac:dyDescent="0.4">
      <c r="G3583" s="36"/>
      <c r="FV3583" s="24"/>
    </row>
    <row r="3584" spans="7:178" x14ac:dyDescent="0.4">
      <c r="G3584" s="36"/>
      <c r="FV3584" s="24"/>
    </row>
    <row r="3585" spans="7:178" x14ac:dyDescent="0.4">
      <c r="G3585" s="36"/>
      <c r="FV3585" s="24"/>
    </row>
    <row r="3586" spans="7:178" x14ac:dyDescent="0.4">
      <c r="G3586" s="36"/>
      <c r="FV3586" s="24"/>
    </row>
    <row r="3587" spans="7:178" x14ac:dyDescent="0.4">
      <c r="G3587" s="36"/>
      <c r="FV3587" s="24"/>
    </row>
    <row r="3588" spans="7:178" x14ac:dyDescent="0.4">
      <c r="G3588" s="36"/>
      <c r="FV3588" s="24"/>
    </row>
    <row r="3589" spans="7:178" x14ac:dyDescent="0.4">
      <c r="G3589" s="36"/>
      <c r="FV3589" s="24"/>
    </row>
    <row r="3590" spans="7:178" x14ac:dyDescent="0.4">
      <c r="G3590" s="36"/>
      <c r="FV3590" s="24"/>
    </row>
    <row r="3591" spans="7:178" x14ac:dyDescent="0.4">
      <c r="G3591" s="36"/>
      <c r="FV3591" s="24"/>
    </row>
    <row r="3592" spans="7:178" x14ac:dyDescent="0.4">
      <c r="G3592" s="36"/>
      <c r="FV3592" s="24"/>
    </row>
    <row r="3593" spans="7:178" x14ac:dyDescent="0.4">
      <c r="G3593" s="36"/>
      <c r="FV3593" s="24"/>
    </row>
    <row r="3594" spans="7:178" x14ac:dyDescent="0.4">
      <c r="G3594" s="36"/>
      <c r="FV3594" s="24"/>
    </row>
    <row r="3595" spans="7:178" x14ac:dyDescent="0.4">
      <c r="G3595" s="36"/>
      <c r="FV3595" s="24"/>
    </row>
    <row r="3596" spans="7:178" x14ac:dyDescent="0.4">
      <c r="G3596" s="36"/>
      <c r="FV3596" s="24"/>
    </row>
    <row r="3597" spans="7:178" x14ac:dyDescent="0.4">
      <c r="G3597" s="36"/>
      <c r="FV3597" s="24"/>
    </row>
    <row r="3598" spans="7:178" x14ac:dyDescent="0.4">
      <c r="G3598" s="36"/>
      <c r="FV3598" s="24"/>
    </row>
    <row r="3599" spans="7:178" x14ac:dyDescent="0.4">
      <c r="G3599" s="36"/>
      <c r="FV3599" s="24"/>
    </row>
    <row r="3600" spans="7:178" x14ac:dyDescent="0.4">
      <c r="G3600" s="36"/>
      <c r="FV3600" s="24"/>
    </row>
    <row r="3601" spans="7:178" x14ac:dyDescent="0.4">
      <c r="G3601" s="36"/>
      <c r="FV3601" s="24"/>
    </row>
    <row r="3602" spans="7:178" x14ac:dyDescent="0.4">
      <c r="G3602" s="36"/>
      <c r="FV3602" s="24"/>
    </row>
    <row r="3603" spans="7:178" x14ac:dyDescent="0.4">
      <c r="G3603" s="36"/>
      <c r="FV3603" s="24"/>
    </row>
    <row r="3604" spans="7:178" x14ac:dyDescent="0.4">
      <c r="G3604" s="36"/>
      <c r="FV3604" s="24"/>
    </row>
    <row r="3605" spans="7:178" x14ac:dyDescent="0.4">
      <c r="G3605" s="36"/>
      <c r="FV3605" s="24"/>
    </row>
    <row r="3606" spans="7:178" x14ac:dyDescent="0.4">
      <c r="G3606" s="36"/>
      <c r="FV3606" s="24"/>
    </row>
    <row r="3607" spans="7:178" x14ac:dyDescent="0.4">
      <c r="G3607" s="36"/>
      <c r="FV3607" s="24"/>
    </row>
    <row r="3608" spans="7:178" x14ac:dyDescent="0.4">
      <c r="G3608" s="36"/>
      <c r="FV3608" s="24"/>
    </row>
    <row r="3609" spans="7:178" x14ac:dyDescent="0.4">
      <c r="G3609" s="36"/>
      <c r="FV3609" s="24"/>
    </row>
    <row r="3610" spans="7:178" x14ac:dyDescent="0.4">
      <c r="G3610" s="36"/>
      <c r="FV3610" s="24"/>
    </row>
    <row r="3611" spans="7:178" x14ac:dyDescent="0.4">
      <c r="G3611" s="36"/>
      <c r="FV3611" s="24"/>
    </row>
    <row r="3612" spans="7:178" x14ac:dyDescent="0.4">
      <c r="G3612" s="36"/>
      <c r="FV3612" s="24"/>
    </row>
    <row r="3613" spans="7:178" x14ac:dyDescent="0.4">
      <c r="G3613" s="36"/>
      <c r="FV3613" s="24"/>
    </row>
    <row r="3614" spans="7:178" x14ac:dyDescent="0.4">
      <c r="G3614" s="36"/>
      <c r="FV3614" s="24"/>
    </row>
    <row r="3615" spans="7:178" x14ac:dyDescent="0.4">
      <c r="G3615" s="36"/>
      <c r="FV3615" s="24"/>
    </row>
    <row r="3616" spans="7:178" x14ac:dyDescent="0.4">
      <c r="G3616" s="36"/>
      <c r="FV3616" s="24"/>
    </row>
    <row r="3617" spans="7:178" x14ac:dyDescent="0.4">
      <c r="G3617" s="36"/>
      <c r="FV3617" s="24"/>
    </row>
    <row r="3618" spans="7:178" x14ac:dyDescent="0.4">
      <c r="G3618" s="36"/>
      <c r="FV3618" s="24"/>
    </row>
    <row r="3619" spans="7:178" x14ac:dyDescent="0.4">
      <c r="G3619" s="36"/>
      <c r="FV3619" s="24"/>
    </row>
    <row r="3620" spans="7:178" x14ac:dyDescent="0.4">
      <c r="G3620" s="36"/>
      <c r="FV3620" s="24"/>
    </row>
    <row r="3621" spans="7:178" x14ac:dyDescent="0.4">
      <c r="G3621" s="36"/>
      <c r="FV3621" s="24"/>
    </row>
    <row r="3622" spans="7:178" x14ac:dyDescent="0.4">
      <c r="G3622" s="36"/>
      <c r="FV3622" s="24"/>
    </row>
    <row r="3623" spans="7:178" x14ac:dyDescent="0.4">
      <c r="G3623" s="36"/>
      <c r="FV3623" s="24"/>
    </row>
    <row r="3624" spans="7:178" x14ac:dyDescent="0.4">
      <c r="G3624" s="36"/>
      <c r="FV3624" s="24"/>
    </row>
    <row r="3625" spans="7:178" x14ac:dyDescent="0.4">
      <c r="G3625" s="36"/>
      <c r="FV3625" s="24"/>
    </row>
    <row r="3626" spans="7:178" x14ac:dyDescent="0.4">
      <c r="G3626" s="36"/>
      <c r="FV3626" s="24"/>
    </row>
    <row r="3627" spans="7:178" x14ac:dyDescent="0.4">
      <c r="G3627" s="36"/>
      <c r="FV3627" s="24"/>
    </row>
    <row r="3628" spans="7:178" x14ac:dyDescent="0.4">
      <c r="G3628" s="36"/>
      <c r="FV3628" s="24"/>
    </row>
    <row r="3629" spans="7:178" x14ac:dyDescent="0.4">
      <c r="G3629" s="36"/>
      <c r="FV3629" s="24"/>
    </row>
    <row r="3630" spans="7:178" x14ac:dyDescent="0.4">
      <c r="G3630" s="36"/>
      <c r="FV3630" s="24"/>
    </row>
    <row r="3631" spans="7:178" x14ac:dyDescent="0.4">
      <c r="G3631" s="36"/>
      <c r="FV3631" s="24"/>
    </row>
    <row r="3632" spans="7:178" x14ac:dyDescent="0.4">
      <c r="G3632" s="36"/>
      <c r="FV3632" s="24"/>
    </row>
    <row r="3633" spans="7:178" x14ac:dyDescent="0.4">
      <c r="G3633" s="36"/>
      <c r="FV3633" s="24"/>
    </row>
    <row r="3634" spans="7:178" x14ac:dyDescent="0.4">
      <c r="G3634" s="36"/>
      <c r="FV3634" s="24"/>
    </row>
    <row r="3635" spans="7:178" x14ac:dyDescent="0.4">
      <c r="G3635" s="36"/>
      <c r="FV3635" s="24"/>
    </row>
    <row r="3636" spans="7:178" x14ac:dyDescent="0.4">
      <c r="G3636" s="36"/>
      <c r="FV3636" s="24"/>
    </row>
    <row r="3637" spans="7:178" x14ac:dyDescent="0.4">
      <c r="G3637" s="36"/>
      <c r="FV3637" s="24"/>
    </row>
    <row r="3638" spans="7:178" x14ac:dyDescent="0.4">
      <c r="G3638" s="36"/>
      <c r="FV3638" s="24"/>
    </row>
    <row r="3639" spans="7:178" x14ac:dyDescent="0.4">
      <c r="G3639" s="36"/>
      <c r="FV3639" s="24"/>
    </row>
    <row r="3640" spans="7:178" x14ac:dyDescent="0.4">
      <c r="G3640" s="36"/>
      <c r="FV3640" s="24"/>
    </row>
    <row r="3641" spans="7:178" x14ac:dyDescent="0.4">
      <c r="G3641" s="36"/>
      <c r="FV3641" s="24"/>
    </row>
    <row r="3642" spans="7:178" x14ac:dyDescent="0.4">
      <c r="G3642" s="36"/>
      <c r="FV3642" s="24"/>
    </row>
    <row r="3643" spans="7:178" x14ac:dyDescent="0.4">
      <c r="G3643" s="36"/>
      <c r="FV3643" s="24"/>
    </row>
    <row r="3644" spans="7:178" x14ac:dyDescent="0.4">
      <c r="G3644" s="36"/>
      <c r="FV3644" s="24"/>
    </row>
    <row r="3645" spans="7:178" x14ac:dyDescent="0.4">
      <c r="G3645" s="36"/>
      <c r="FV3645" s="24"/>
    </row>
    <row r="3646" spans="7:178" x14ac:dyDescent="0.4">
      <c r="G3646" s="36"/>
      <c r="FV3646" s="24"/>
    </row>
    <row r="3647" spans="7:178" x14ac:dyDescent="0.4">
      <c r="G3647" s="36"/>
      <c r="FV3647" s="24"/>
    </row>
    <row r="3648" spans="7:178" x14ac:dyDescent="0.4">
      <c r="G3648" s="36"/>
      <c r="FV3648" s="24"/>
    </row>
    <row r="3649" spans="7:178" x14ac:dyDescent="0.4">
      <c r="G3649" s="36"/>
      <c r="FV3649" s="24"/>
    </row>
    <row r="3650" spans="7:178" x14ac:dyDescent="0.4">
      <c r="G3650" s="36"/>
      <c r="FV3650" s="24"/>
    </row>
    <row r="3651" spans="7:178" x14ac:dyDescent="0.4">
      <c r="G3651" s="36"/>
      <c r="FV3651" s="24"/>
    </row>
    <row r="3652" spans="7:178" x14ac:dyDescent="0.4">
      <c r="G3652" s="36"/>
      <c r="FV3652" s="24"/>
    </row>
    <row r="3653" spans="7:178" x14ac:dyDescent="0.4">
      <c r="G3653" s="36"/>
      <c r="FV3653" s="24"/>
    </row>
    <row r="3654" spans="7:178" x14ac:dyDescent="0.4">
      <c r="G3654" s="36"/>
      <c r="FV3654" s="24"/>
    </row>
    <row r="3655" spans="7:178" x14ac:dyDescent="0.4">
      <c r="G3655" s="36"/>
      <c r="FV3655" s="24"/>
    </row>
    <row r="3656" spans="7:178" x14ac:dyDescent="0.4">
      <c r="G3656" s="36"/>
      <c r="FV3656" s="24"/>
    </row>
    <row r="3657" spans="7:178" x14ac:dyDescent="0.4">
      <c r="G3657" s="36"/>
      <c r="FV3657" s="24"/>
    </row>
    <row r="3658" spans="7:178" x14ac:dyDescent="0.4">
      <c r="G3658" s="36"/>
      <c r="FV3658" s="24"/>
    </row>
    <row r="3659" spans="7:178" x14ac:dyDescent="0.4">
      <c r="G3659" s="36"/>
      <c r="FV3659" s="24"/>
    </row>
    <row r="3660" spans="7:178" x14ac:dyDescent="0.4">
      <c r="G3660" s="36"/>
      <c r="FV3660" s="24"/>
    </row>
    <row r="3661" spans="7:178" x14ac:dyDescent="0.4">
      <c r="G3661" s="36"/>
      <c r="FV3661" s="24"/>
    </row>
    <row r="3662" spans="7:178" x14ac:dyDescent="0.4">
      <c r="G3662" s="36"/>
      <c r="FV3662" s="24"/>
    </row>
    <row r="3663" spans="7:178" x14ac:dyDescent="0.4">
      <c r="G3663" s="36"/>
      <c r="FV3663" s="24"/>
    </row>
    <row r="3664" spans="7:178" x14ac:dyDescent="0.4">
      <c r="G3664" s="36"/>
      <c r="FV3664" s="24"/>
    </row>
    <row r="3665" spans="7:178" x14ac:dyDescent="0.4">
      <c r="G3665" s="36"/>
      <c r="FV3665" s="24"/>
    </row>
    <row r="3666" spans="7:178" x14ac:dyDescent="0.4">
      <c r="G3666" s="36"/>
      <c r="FV3666" s="24"/>
    </row>
    <row r="3667" spans="7:178" x14ac:dyDescent="0.4">
      <c r="G3667" s="36"/>
      <c r="FV3667" s="24"/>
    </row>
    <row r="3668" spans="7:178" x14ac:dyDescent="0.4">
      <c r="G3668" s="36"/>
      <c r="FV3668" s="24"/>
    </row>
    <row r="3669" spans="7:178" x14ac:dyDescent="0.4">
      <c r="G3669" s="36"/>
      <c r="FV3669" s="24"/>
    </row>
    <row r="3670" spans="7:178" x14ac:dyDescent="0.4">
      <c r="G3670" s="36"/>
      <c r="FV3670" s="24"/>
    </row>
    <row r="3671" spans="7:178" x14ac:dyDescent="0.4">
      <c r="G3671" s="36"/>
      <c r="FV3671" s="24"/>
    </row>
    <row r="3672" spans="7:178" x14ac:dyDescent="0.4">
      <c r="G3672" s="36"/>
      <c r="FV3672" s="24"/>
    </row>
    <row r="3673" spans="7:178" x14ac:dyDescent="0.4">
      <c r="G3673" s="36"/>
      <c r="FV3673" s="24"/>
    </row>
    <row r="3674" spans="7:178" x14ac:dyDescent="0.4">
      <c r="G3674" s="36"/>
      <c r="FV3674" s="24"/>
    </row>
    <row r="3675" spans="7:178" x14ac:dyDescent="0.4">
      <c r="G3675" s="36"/>
      <c r="FV3675" s="24"/>
    </row>
    <row r="3676" spans="7:178" x14ac:dyDescent="0.4">
      <c r="G3676" s="36"/>
      <c r="FV3676" s="24"/>
    </row>
    <row r="3677" spans="7:178" x14ac:dyDescent="0.4">
      <c r="G3677" s="36"/>
      <c r="FV3677" s="24"/>
    </row>
    <row r="3678" spans="7:178" x14ac:dyDescent="0.4">
      <c r="G3678" s="36"/>
      <c r="FV3678" s="24"/>
    </row>
    <row r="3679" spans="7:178" x14ac:dyDescent="0.4">
      <c r="G3679" s="36"/>
      <c r="FV3679" s="24"/>
    </row>
    <row r="3680" spans="7:178" x14ac:dyDescent="0.4">
      <c r="G3680" s="36"/>
      <c r="FV3680" s="24"/>
    </row>
    <row r="3681" spans="7:178" x14ac:dyDescent="0.4">
      <c r="G3681" s="36"/>
      <c r="FV3681" s="24"/>
    </row>
    <row r="3682" spans="7:178" x14ac:dyDescent="0.4">
      <c r="G3682" s="36"/>
      <c r="FV3682" s="24"/>
    </row>
    <row r="3683" spans="7:178" x14ac:dyDescent="0.4">
      <c r="G3683" s="36"/>
      <c r="FV3683" s="24"/>
    </row>
    <row r="3684" spans="7:178" x14ac:dyDescent="0.4">
      <c r="G3684" s="36"/>
      <c r="FV3684" s="24"/>
    </row>
    <row r="3685" spans="7:178" x14ac:dyDescent="0.4">
      <c r="G3685" s="36"/>
      <c r="FV3685" s="24"/>
    </row>
    <row r="3686" spans="7:178" x14ac:dyDescent="0.4">
      <c r="G3686" s="36"/>
      <c r="FV3686" s="24"/>
    </row>
    <row r="3687" spans="7:178" x14ac:dyDescent="0.4">
      <c r="G3687" s="36"/>
      <c r="FV3687" s="24"/>
    </row>
    <row r="3688" spans="7:178" x14ac:dyDescent="0.4">
      <c r="G3688" s="36"/>
      <c r="FV3688" s="24"/>
    </row>
    <row r="3689" spans="7:178" x14ac:dyDescent="0.4">
      <c r="G3689" s="36"/>
      <c r="FV3689" s="24"/>
    </row>
    <row r="3690" spans="7:178" x14ac:dyDescent="0.4">
      <c r="G3690" s="36"/>
      <c r="FV3690" s="24"/>
    </row>
    <row r="3691" spans="7:178" x14ac:dyDescent="0.4">
      <c r="G3691" s="36"/>
      <c r="FV3691" s="24"/>
    </row>
    <row r="3692" spans="7:178" x14ac:dyDescent="0.4">
      <c r="G3692" s="36"/>
      <c r="FV3692" s="24"/>
    </row>
    <row r="3693" spans="7:178" x14ac:dyDescent="0.4">
      <c r="G3693" s="36"/>
      <c r="FV3693" s="24"/>
    </row>
    <row r="3694" spans="7:178" x14ac:dyDescent="0.4">
      <c r="G3694" s="36"/>
      <c r="FV3694" s="24"/>
    </row>
    <row r="3695" spans="7:178" x14ac:dyDescent="0.4">
      <c r="G3695" s="36"/>
      <c r="FV3695" s="24"/>
    </row>
    <row r="3696" spans="7:178" x14ac:dyDescent="0.4">
      <c r="G3696" s="36"/>
      <c r="FV3696" s="24"/>
    </row>
    <row r="3697" spans="7:178" x14ac:dyDescent="0.4">
      <c r="G3697" s="36"/>
      <c r="FV3697" s="24"/>
    </row>
    <row r="3698" spans="7:178" x14ac:dyDescent="0.4">
      <c r="G3698" s="36"/>
      <c r="FV3698" s="24"/>
    </row>
    <row r="3699" spans="7:178" x14ac:dyDescent="0.4">
      <c r="G3699" s="36"/>
      <c r="FV3699" s="24"/>
    </row>
    <row r="3700" spans="7:178" x14ac:dyDescent="0.4">
      <c r="G3700" s="36"/>
      <c r="FV3700" s="24"/>
    </row>
    <row r="3701" spans="7:178" x14ac:dyDescent="0.4">
      <c r="G3701" s="36"/>
      <c r="FV3701" s="24"/>
    </row>
    <row r="3702" spans="7:178" x14ac:dyDescent="0.4">
      <c r="G3702" s="36"/>
      <c r="FV3702" s="24"/>
    </row>
    <row r="3703" spans="7:178" x14ac:dyDescent="0.4">
      <c r="G3703" s="36"/>
      <c r="FV3703" s="24"/>
    </row>
    <row r="3704" spans="7:178" x14ac:dyDescent="0.4">
      <c r="G3704" s="36"/>
      <c r="FV3704" s="24"/>
    </row>
    <row r="3705" spans="7:178" x14ac:dyDescent="0.4">
      <c r="G3705" s="36"/>
      <c r="FV3705" s="24"/>
    </row>
    <row r="3706" spans="7:178" x14ac:dyDescent="0.4">
      <c r="G3706" s="36"/>
      <c r="FV3706" s="24"/>
    </row>
    <row r="3707" spans="7:178" x14ac:dyDescent="0.4">
      <c r="G3707" s="36"/>
      <c r="FV3707" s="24"/>
    </row>
    <row r="3708" spans="7:178" x14ac:dyDescent="0.4">
      <c r="G3708" s="36"/>
      <c r="FV3708" s="24"/>
    </row>
    <row r="3709" spans="7:178" x14ac:dyDescent="0.4">
      <c r="G3709" s="36"/>
      <c r="FV3709" s="24"/>
    </row>
    <row r="3710" spans="7:178" x14ac:dyDescent="0.4">
      <c r="G3710" s="36"/>
      <c r="FV3710" s="24"/>
    </row>
    <row r="3711" spans="7:178" x14ac:dyDescent="0.4">
      <c r="G3711" s="36"/>
      <c r="FV3711" s="24"/>
    </row>
    <row r="3712" spans="7:178" x14ac:dyDescent="0.4">
      <c r="G3712" s="36"/>
      <c r="FV3712" s="24"/>
    </row>
    <row r="3713" spans="7:178" x14ac:dyDescent="0.4">
      <c r="G3713" s="36"/>
      <c r="FV3713" s="24"/>
    </row>
    <row r="3714" spans="7:178" x14ac:dyDescent="0.4">
      <c r="G3714" s="36"/>
      <c r="FV3714" s="24"/>
    </row>
    <row r="3715" spans="7:178" x14ac:dyDescent="0.4">
      <c r="G3715" s="36"/>
      <c r="FV3715" s="24"/>
    </row>
    <row r="3716" spans="7:178" x14ac:dyDescent="0.4">
      <c r="G3716" s="36"/>
      <c r="FV3716" s="24"/>
    </row>
    <row r="3717" spans="7:178" x14ac:dyDescent="0.4">
      <c r="G3717" s="36"/>
      <c r="FV3717" s="24"/>
    </row>
    <row r="3718" spans="7:178" x14ac:dyDescent="0.4">
      <c r="G3718" s="36"/>
      <c r="FV3718" s="24"/>
    </row>
    <row r="3719" spans="7:178" x14ac:dyDescent="0.4">
      <c r="G3719" s="36"/>
      <c r="FV3719" s="24"/>
    </row>
    <row r="3720" spans="7:178" x14ac:dyDescent="0.4">
      <c r="G3720" s="36"/>
      <c r="FV3720" s="24"/>
    </row>
    <row r="3721" spans="7:178" x14ac:dyDescent="0.4">
      <c r="G3721" s="36"/>
      <c r="FV3721" s="24"/>
    </row>
    <row r="3722" spans="7:178" x14ac:dyDescent="0.4">
      <c r="G3722" s="36"/>
      <c r="FV3722" s="24"/>
    </row>
    <row r="3723" spans="7:178" x14ac:dyDescent="0.4">
      <c r="G3723" s="36"/>
      <c r="FV3723" s="24"/>
    </row>
    <row r="3724" spans="7:178" x14ac:dyDescent="0.4">
      <c r="G3724" s="36"/>
      <c r="FV3724" s="24"/>
    </row>
    <row r="3725" spans="7:178" x14ac:dyDescent="0.4">
      <c r="G3725" s="36"/>
      <c r="FV3725" s="24"/>
    </row>
    <row r="3726" spans="7:178" x14ac:dyDescent="0.4">
      <c r="G3726" s="36"/>
      <c r="FV3726" s="24"/>
    </row>
    <row r="3727" spans="7:178" x14ac:dyDescent="0.4">
      <c r="G3727" s="36"/>
      <c r="FV3727" s="24"/>
    </row>
    <row r="3728" spans="7:178" x14ac:dyDescent="0.4">
      <c r="G3728" s="36"/>
      <c r="FV3728" s="24"/>
    </row>
    <row r="3729" spans="7:178" x14ac:dyDescent="0.4">
      <c r="G3729" s="36"/>
      <c r="FV3729" s="24"/>
    </row>
    <row r="3730" spans="7:178" x14ac:dyDescent="0.4">
      <c r="G3730" s="36"/>
      <c r="FV3730" s="24"/>
    </row>
    <row r="3731" spans="7:178" x14ac:dyDescent="0.4">
      <c r="G3731" s="36"/>
      <c r="FV3731" s="24"/>
    </row>
    <row r="3732" spans="7:178" x14ac:dyDescent="0.4">
      <c r="G3732" s="36"/>
      <c r="FV3732" s="24"/>
    </row>
    <row r="3733" spans="7:178" x14ac:dyDescent="0.4">
      <c r="G3733" s="36"/>
      <c r="FV3733" s="24"/>
    </row>
    <row r="3734" spans="7:178" x14ac:dyDescent="0.4">
      <c r="G3734" s="36"/>
      <c r="FV3734" s="24"/>
    </row>
    <row r="3735" spans="7:178" x14ac:dyDescent="0.4">
      <c r="G3735" s="36"/>
      <c r="FV3735" s="24"/>
    </row>
    <row r="3736" spans="7:178" x14ac:dyDescent="0.4">
      <c r="G3736" s="36"/>
      <c r="FV3736" s="24"/>
    </row>
    <row r="3737" spans="7:178" x14ac:dyDescent="0.4">
      <c r="G3737" s="36"/>
      <c r="FV3737" s="24"/>
    </row>
    <row r="3738" spans="7:178" x14ac:dyDescent="0.4">
      <c r="G3738" s="36"/>
      <c r="FV3738" s="24"/>
    </row>
    <row r="3739" spans="7:178" x14ac:dyDescent="0.4">
      <c r="G3739" s="36"/>
      <c r="FV3739" s="24"/>
    </row>
    <row r="3740" spans="7:178" x14ac:dyDescent="0.4">
      <c r="G3740" s="36"/>
      <c r="FV3740" s="24"/>
    </row>
    <row r="3741" spans="7:178" x14ac:dyDescent="0.4">
      <c r="G3741" s="36"/>
      <c r="FV3741" s="24"/>
    </row>
    <row r="3742" spans="7:178" x14ac:dyDescent="0.4">
      <c r="G3742" s="36"/>
      <c r="FV3742" s="24"/>
    </row>
    <row r="3743" spans="7:178" x14ac:dyDescent="0.4">
      <c r="G3743" s="36"/>
      <c r="FV3743" s="24"/>
    </row>
    <row r="3744" spans="7:178" x14ac:dyDescent="0.4">
      <c r="G3744" s="36"/>
      <c r="FV3744" s="24"/>
    </row>
    <row r="3745" spans="7:178" x14ac:dyDescent="0.4">
      <c r="G3745" s="36"/>
      <c r="FV3745" s="24"/>
    </row>
    <row r="3746" spans="7:178" x14ac:dyDescent="0.4">
      <c r="G3746" s="36"/>
      <c r="FV3746" s="24"/>
    </row>
    <row r="3747" spans="7:178" x14ac:dyDescent="0.4">
      <c r="G3747" s="36"/>
      <c r="FV3747" s="24"/>
    </row>
    <row r="3748" spans="7:178" x14ac:dyDescent="0.4">
      <c r="G3748" s="36"/>
      <c r="FV3748" s="24"/>
    </row>
    <row r="3749" spans="7:178" x14ac:dyDescent="0.4">
      <c r="G3749" s="36"/>
      <c r="FV3749" s="24"/>
    </row>
    <row r="3750" spans="7:178" x14ac:dyDescent="0.4">
      <c r="G3750" s="36"/>
      <c r="FV3750" s="24"/>
    </row>
    <row r="3751" spans="7:178" x14ac:dyDescent="0.4">
      <c r="G3751" s="36"/>
      <c r="FV3751" s="24"/>
    </row>
    <row r="3752" spans="7:178" x14ac:dyDescent="0.4">
      <c r="G3752" s="36"/>
      <c r="FV3752" s="24"/>
    </row>
    <row r="3753" spans="7:178" x14ac:dyDescent="0.4">
      <c r="G3753" s="36"/>
      <c r="FV3753" s="24"/>
    </row>
    <row r="3754" spans="7:178" x14ac:dyDescent="0.4">
      <c r="G3754" s="36"/>
      <c r="FV3754" s="24"/>
    </row>
    <row r="3755" spans="7:178" x14ac:dyDescent="0.4">
      <c r="G3755" s="36"/>
      <c r="FV3755" s="24"/>
    </row>
    <row r="3756" spans="7:178" x14ac:dyDescent="0.4">
      <c r="G3756" s="36"/>
      <c r="FV3756" s="24"/>
    </row>
    <row r="3757" spans="7:178" x14ac:dyDescent="0.4">
      <c r="G3757" s="36"/>
      <c r="FV3757" s="24"/>
    </row>
    <row r="3758" spans="7:178" x14ac:dyDescent="0.4">
      <c r="G3758" s="36"/>
      <c r="FV3758" s="24"/>
    </row>
    <row r="3759" spans="7:178" x14ac:dyDescent="0.4">
      <c r="G3759" s="36"/>
      <c r="FV3759" s="24"/>
    </row>
    <row r="3760" spans="7:178" x14ac:dyDescent="0.4">
      <c r="G3760" s="36"/>
      <c r="FV3760" s="24"/>
    </row>
    <row r="3761" spans="7:178" x14ac:dyDescent="0.4">
      <c r="G3761" s="36"/>
      <c r="FV3761" s="24"/>
    </row>
    <row r="3762" spans="7:178" x14ac:dyDescent="0.4">
      <c r="G3762" s="36"/>
      <c r="FV3762" s="24"/>
    </row>
    <row r="3763" spans="7:178" x14ac:dyDescent="0.4">
      <c r="G3763" s="36"/>
      <c r="FV3763" s="24"/>
    </row>
    <row r="3764" spans="7:178" x14ac:dyDescent="0.4">
      <c r="G3764" s="36"/>
      <c r="FV3764" s="24"/>
    </row>
    <row r="3765" spans="7:178" x14ac:dyDescent="0.4">
      <c r="G3765" s="36"/>
      <c r="FV3765" s="24"/>
    </row>
    <row r="3766" spans="7:178" x14ac:dyDescent="0.4">
      <c r="G3766" s="36"/>
      <c r="FV3766" s="24"/>
    </row>
    <row r="3767" spans="7:178" x14ac:dyDescent="0.4">
      <c r="G3767" s="36"/>
      <c r="FV3767" s="24"/>
    </row>
    <row r="3768" spans="7:178" x14ac:dyDescent="0.4">
      <c r="G3768" s="36"/>
      <c r="FV3768" s="24"/>
    </row>
    <row r="3769" spans="7:178" x14ac:dyDescent="0.4">
      <c r="G3769" s="36"/>
      <c r="FV3769" s="24"/>
    </row>
    <row r="3770" spans="7:178" x14ac:dyDescent="0.4">
      <c r="G3770" s="36"/>
      <c r="FV3770" s="24"/>
    </row>
    <row r="3771" spans="7:178" x14ac:dyDescent="0.4">
      <c r="G3771" s="36"/>
      <c r="FV3771" s="24"/>
    </row>
    <row r="3772" spans="7:178" x14ac:dyDescent="0.4">
      <c r="G3772" s="36"/>
      <c r="FV3772" s="24"/>
    </row>
    <row r="3773" spans="7:178" x14ac:dyDescent="0.4">
      <c r="G3773" s="36"/>
      <c r="FV3773" s="24"/>
    </row>
    <row r="3774" spans="7:178" x14ac:dyDescent="0.4">
      <c r="G3774" s="36"/>
      <c r="FV3774" s="24"/>
    </row>
    <row r="3775" spans="7:178" x14ac:dyDescent="0.4">
      <c r="G3775" s="36"/>
      <c r="FV3775" s="24"/>
    </row>
    <row r="3776" spans="7:178" x14ac:dyDescent="0.4">
      <c r="G3776" s="36"/>
      <c r="FV3776" s="24"/>
    </row>
    <row r="3777" spans="7:178" x14ac:dyDescent="0.4">
      <c r="G3777" s="36"/>
      <c r="FV3777" s="24"/>
    </row>
    <row r="3778" spans="7:178" x14ac:dyDescent="0.4">
      <c r="G3778" s="36"/>
      <c r="FV3778" s="24"/>
    </row>
    <row r="3779" spans="7:178" x14ac:dyDescent="0.4">
      <c r="G3779" s="36"/>
      <c r="FV3779" s="24"/>
    </row>
    <row r="3780" spans="7:178" x14ac:dyDescent="0.4">
      <c r="G3780" s="36"/>
      <c r="FV3780" s="24"/>
    </row>
    <row r="3781" spans="7:178" x14ac:dyDescent="0.4">
      <c r="G3781" s="36"/>
      <c r="FV3781" s="24"/>
    </row>
    <row r="3782" spans="7:178" x14ac:dyDescent="0.4">
      <c r="G3782" s="36"/>
      <c r="FV3782" s="24"/>
    </row>
    <row r="3783" spans="7:178" x14ac:dyDescent="0.4">
      <c r="G3783" s="36"/>
      <c r="FV3783" s="24"/>
    </row>
    <row r="3784" spans="7:178" x14ac:dyDescent="0.4">
      <c r="G3784" s="36"/>
      <c r="FV3784" s="24"/>
    </row>
    <row r="3785" spans="7:178" x14ac:dyDescent="0.4">
      <c r="G3785" s="36"/>
      <c r="FV3785" s="24"/>
    </row>
    <row r="3786" spans="7:178" x14ac:dyDescent="0.4">
      <c r="G3786" s="36"/>
      <c r="FV3786" s="24"/>
    </row>
    <row r="3787" spans="7:178" x14ac:dyDescent="0.4">
      <c r="G3787" s="36"/>
      <c r="FV3787" s="24"/>
    </row>
    <row r="3788" spans="7:178" x14ac:dyDescent="0.4">
      <c r="G3788" s="36"/>
      <c r="FV3788" s="24"/>
    </row>
    <row r="3789" spans="7:178" x14ac:dyDescent="0.4">
      <c r="G3789" s="36"/>
      <c r="FV3789" s="24"/>
    </row>
    <row r="3790" spans="7:178" x14ac:dyDescent="0.4">
      <c r="G3790" s="36"/>
      <c r="FV3790" s="24"/>
    </row>
    <row r="3791" spans="7:178" x14ac:dyDescent="0.4">
      <c r="G3791" s="36"/>
      <c r="FV3791" s="24"/>
    </row>
    <row r="3792" spans="7:178" x14ac:dyDescent="0.4">
      <c r="G3792" s="36"/>
      <c r="FV3792" s="24"/>
    </row>
    <row r="3793" spans="7:178" x14ac:dyDescent="0.4">
      <c r="G3793" s="36"/>
      <c r="FV3793" s="24"/>
    </row>
    <row r="3794" spans="7:178" x14ac:dyDescent="0.4">
      <c r="G3794" s="36"/>
      <c r="FV3794" s="24"/>
    </row>
    <row r="3795" spans="7:178" x14ac:dyDescent="0.4">
      <c r="G3795" s="36"/>
      <c r="FV3795" s="24"/>
    </row>
    <row r="3796" spans="7:178" x14ac:dyDescent="0.4">
      <c r="G3796" s="36"/>
      <c r="FV3796" s="24"/>
    </row>
    <row r="3797" spans="7:178" x14ac:dyDescent="0.4">
      <c r="G3797" s="36"/>
      <c r="FV3797" s="24"/>
    </row>
    <row r="3798" spans="7:178" x14ac:dyDescent="0.4">
      <c r="G3798" s="36"/>
      <c r="FV3798" s="24"/>
    </row>
    <row r="3799" spans="7:178" x14ac:dyDescent="0.4">
      <c r="G3799" s="36"/>
      <c r="FV3799" s="24"/>
    </row>
    <row r="3800" spans="7:178" x14ac:dyDescent="0.4">
      <c r="G3800" s="36"/>
      <c r="FV3800" s="24"/>
    </row>
    <row r="3801" spans="7:178" x14ac:dyDescent="0.4">
      <c r="G3801" s="36"/>
      <c r="FV3801" s="24"/>
    </row>
    <row r="3802" spans="7:178" x14ac:dyDescent="0.4">
      <c r="G3802" s="36"/>
      <c r="FV3802" s="24"/>
    </row>
    <row r="3803" spans="7:178" x14ac:dyDescent="0.4">
      <c r="G3803" s="36"/>
      <c r="FV3803" s="24"/>
    </row>
    <row r="3804" spans="7:178" x14ac:dyDescent="0.4">
      <c r="G3804" s="36"/>
      <c r="FV3804" s="24"/>
    </row>
    <row r="3805" spans="7:178" x14ac:dyDescent="0.4">
      <c r="G3805" s="36"/>
      <c r="FV3805" s="24"/>
    </row>
    <row r="3806" spans="7:178" x14ac:dyDescent="0.4">
      <c r="G3806" s="36"/>
      <c r="FV3806" s="24"/>
    </row>
    <row r="3807" spans="7:178" x14ac:dyDescent="0.4">
      <c r="G3807" s="36"/>
      <c r="FV3807" s="24"/>
    </row>
    <row r="3808" spans="7:178" x14ac:dyDescent="0.4">
      <c r="G3808" s="36"/>
      <c r="FV3808" s="24"/>
    </row>
    <row r="3809" spans="7:178" x14ac:dyDescent="0.4">
      <c r="G3809" s="36"/>
      <c r="FV3809" s="24"/>
    </row>
    <row r="3810" spans="7:178" x14ac:dyDescent="0.4">
      <c r="G3810" s="36"/>
      <c r="FV3810" s="24"/>
    </row>
    <row r="3811" spans="7:178" x14ac:dyDescent="0.4">
      <c r="G3811" s="36"/>
      <c r="FV3811" s="24"/>
    </row>
    <row r="3812" spans="7:178" x14ac:dyDescent="0.4">
      <c r="G3812" s="36"/>
      <c r="FV3812" s="24"/>
    </row>
    <row r="3813" spans="7:178" x14ac:dyDescent="0.4">
      <c r="G3813" s="36"/>
      <c r="FV3813" s="24"/>
    </row>
    <row r="3814" spans="7:178" x14ac:dyDescent="0.4">
      <c r="G3814" s="36"/>
      <c r="FV3814" s="24"/>
    </row>
    <row r="3815" spans="7:178" x14ac:dyDescent="0.4">
      <c r="G3815" s="36"/>
      <c r="FV3815" s="24"/>
    </row>
    <row r="3816" spans="7:178" x14ac:dyDescent="0.4">
      <c r="G3816" s="36"/>
      <c r="FV3816" s="24"/>
    </row>
    <row r="3817" spans="7:178" x14ac:dyDescent="0.4">
      <c r="G3817" s="36"/>
      <c r="FV3817" s="24"/>
    </row>
    <row r="3818" spans="7:178" x14ac:dyDescent="0.4">
      <c r="G3818" s="36"/>
      <c r="FV3818" s="24"/>
    </row>
    <row r="3819" spans="7:178" x14ac:dyDescent="0.4">
      <c r="G3819" s="36"/>
      <c r="FV3819" s="24"/>
    </row>
    <row r="3820" spans="7:178" x14ac:dyDescent="0.4">
      <c r="G3820" s="36"/>
      <c r="FV3820" s="24"/>
    </row>
    <row r="3821" spans="7:178" x14ac:dyDescent="0.4">
      <c r="G3821" s="36"/>
      <c r="FV3821" s="24"/>
    </row>
    <row r="3822" spans="7:178" x14ac:dyDescent="0.4">
      <c r="G3822" s="36"/>
      <c r="FV3822" s="24"/>
    </row>
    <row r="3823" spans="7:178" x14ac:dyDescent="0.4">
      <c r="G3823" s="36"/>
      <c r="FV3823" s="24"/>
    </row>
    <row r="3824" spans="7:178" x14ac:dyDescent="0.4">
      <c r="G3824" s="36"/>
      <c r="FV3824" s="24"/>
    </row>
    <row r="3825" spans="7:178" x14ac:dyDescent="0.4">
      <c r="G3825" s="36"/>
      <c r="FV3825" s="24"/>
    </row>
    <row r="3826" spans="7:178" x14ac:dyDescent="0.4">
      <c r="G3826" s="36"/>
      <c r="FV3826" s="24"/>
    </row>
    <row r="3827" spans="7:178" x14ac:dyDescent="0.4">
      <c r="G3827" s="36"/>
      <c r="FV3827" s="24"/>
    </row>
    <row r="3828" spans="7:178" x14ac:dyDescent="0.4">
      <c r="G3828" s="36"/>
      <c r="FV3828" s="24"/>
    </row>
    <row r="3829" spans="7:178" x14ac:dyDescent="0.4">
      <c r="G3829" s="36"/>
      <c r="FV3829" s="24"/>
    </row>
    <row r="3830" spans="7:178" x14ac:dyDescent="0.4">
      <c r="G3830" s="36"/>
      <c r="FV3830" s="24"/>
    </row>
    <row r="3831" spans="7:178" x14ac:dyDescent="0.4">
      <c r="G3831" s="36"/>
      <c r="FV3831" s="24"/>
    </row>
    <row r="3832" spans="7:178" x14ac:dyDescent="0.4">
      <c r="G3832" s="36"/>
      <c r="FV3832" s="24"/>
    </row>
    <row r="3833" spans="7:178" x14ac:dyDescent="0.4">
      <c r="G3833" s="36"/>
      <c r="FV3833" s="24"/>
    </row>
    <row r="3834" spans="7:178" x14ac:dyDescent="0.4">
      <c r="G3834" s="36"/>
      <c r="FV3834" s="24"/>
    </row>
    <row r="3835" spans="7:178" x14ac:dyDescent="0.4">
      <c r="G3835" s="36"/>
      <c r="FV3835" s="24"/>
    </row>
    <row r="3836" spans="7:178" x14ac:dyDescent="0.4">
      <c r="G3836" s="36"/>
      <c r="FV3836" s="24"/>
    </row>
    <row r="3837" spans="7:178" x14ac:dyDescent="0.4">
      <c r="G3837" s="36"/>
      <c r="FV3837" s="24"/>
    </row>
    <row r="3838" spans="7:178" x14ac:dyDescent="0.4">
      <c r="G3838" s="36"/>
      <c r="FV3838" s="24"/>
    </row>
    <row r="3839" spans="7:178" x14ac:dyDescent="0.4">
      <c r="G3839" s="36"/>
      <c r="FV3839" s="24"/>
    </row>
    <row r="3840" spans="7:178" x14ac:dyDescent="0.4">
      <c r="G3840" s="36"/>
      <c r="FV3840" s="24"/>
    </row>
    <row r="3841" spans="7:178" x14ac:dyDescent="0.4">
      <c r="G3841" s="36"/>
      <c r="FV3841" s="24"/>
    </row>
    <row r="3842" spans="7:178" x14ac:dyDescent="0.4">
      <c r="G3842" s="36"/>
      <c r="FV3842" s="24"/>
    </row>
    <row r="3843" spans="7:178" x14ac:dyDescent="0.4">
      <c r="G3843" s="36"/>
      <c r="FV3843" s="24"/>
    </row>
    <row r="3844" spans="7:178" x14ac:dyDescent="0.4">
      <c r="G3844" s="36"/>
      <c r="FV3844" s="24"/>
    </row>
    <row r="3845" spans="7:178" x14ac:dyDescent="0.4">
      <c r="G3845" s="36"/>
      <c r="FV3845" s="24"/>
    </row>
    <row r="3846" spans="7:178" x14ac:dyDescent="0.4">
      <c r="G3846" s="36"/>
      <c r="FV3846" s="24"/>
    </row>
    <row r="3847" spans="7:178" x14ac:dyDescent="0.4">
      <c r="G3847" s="36"/>
      <c r="FV3847" s="24"/>
    </row>
    <row r="3848" spans="7:178" x14ac:dyDescent="0.4">
      <c r="G3848" s="36"/>
      <c r="FV3848" s="24"/>
    </row>
    <row r="3849" spans="7:178" x14ac:dyDescent="0.4">
      <c r="G3849" s="36"/>
      <c r="FV3849" s="24"/>
    </row>
    <row r="3850" spans="7:178" x14ac:dyDescent="0.4">
      <c r="G3850" s="36"/>
      <c r="FV3850" s="24"/>
    </row>
    <row r="3851" spans="7:178" x14ac:dyDescent="0.4">
      <c r="G3851" s="36"/>
      <c r="FV3851" s="24"/>
    </row>
    <row r="3852" spans="7:178" x14ac:dyDescent="0.4">
      <c r="G3852" s="36"/>
      <c r="FV3852" s="24"/>
    </row>
    <row r="3853" spans="7:178" x14ac:dyDescent="0.4">
      <c r="G3853" s="36"/>
      <c r="FV3853" s="24"/>
    </row>
    <row r="3854" spans="7:178" x14ac:dyDescent="0.4">
      <c r="G3854" s="36"/>
      <c r="FV3854" s="24"/>
    </row>
    <row r="3855" spans="7:178" x14ac:dyDescent="0.4">
      <c r="G3855" s="36"/>
      <c r="FV3855" s="24"/>
    </row>
    <row r="3856" spans="7:178" x14ac:dyDescent="0.4">
      <c r="G3856" s="36"/>
      <c r="FV3856" s="24"/>
    </row>
    <row r="3857" spans="7:178" x14ac:dyDescent="0.4">
      <c r="G3857" s="36"/>
      <c r="FV3857" s="24"/>
    </row>
    <row r="3858" spans="7:178" x14ac:dyDescent="0.4">
      <c r="G3858" s="36"/>
      <c r="FV3858" s="24"/>
    </row>
    <row r="3859" spans="7:178" x14ac:dyDescent="0.4">
      <c r="G3859" s="36"/>
      <c r="FV3859" s="24"/>
    </row>
    <row r="3860" spans="7:178" x14ac:dyDescent="0.4">
      <c r="G3860" s="36"/>
      <c r="FV3860" s="24"/>
    </row>
    <row r="3861" spans="7:178" x14ac:dyDescent="0.4">
      <c r="G3861" s="36"/>
      <c r="FV3861" s="24"/>
    </row>
    <row r="3862" spans="7:178" x14ac:dyDescent="0.4">
      <c r="G3862" s="36"/>
      <c r="FV3862" s="24"/>
    </row>
    <row r="3863" spans="7:178" x14ac:dyDescent="0.4">
      <c r="G3863" s="36"/>
      <c r="FV3863" s="24"/>
    </row>
    <row r="3864" spans="7:178" x14ac:dyDescent="0.4">
      <c r="G3864" s="36"/>
      <c r="FV3864" s="24"/>
    </row>
    <row r="3865" spans="7:178" x14ac:dyDescent="0.4">
      <c r="G3865" s="36"/>
      <c r="FV3865" s="24"/>
    </row>
    <row r="3866" spans="7:178" x14ac:dyDescent="0.4">
      <c r="G3866" s="36"/>
      <c r="FV3866" s="24"/>
    </row>
    <row r="3867" spans="7:178" x14ac:dyDescent="0.4">
      <c r="G3867" s="36"/>
      <c r="FV3867" s="24"/>
    </row>
    <row r="3868" spans="7:178" x14ac:dyDescent="0.4">
      <c r="G3868" s="36"/>
      <c r="FV3868" s="24"/>
    </row>
    <row r="3869" spans="7:178" x14ac:dyDescent="0.4">
      <c r="G3869" s="36"/>
      <c r="FV3869" s="24"/>
    </row>
    <row r="3870" spans="7:178" x14ac:dyDescent="0.4">
      <c r="G3870" s="36"/>
      <c r="FV3870" s="24"/>
    </row>
    <row r="3871" spans="7:178" x14ac:dyDescent="0.4">
      <c r="G3871" s="36"/>
      <c r="FV3871" s="24"/>
    </row>
    <row r="3872" spans="7:178" x14ac:dyDescent="0.4">
      <c r="G3872" s="36"/>
      <c r="FV3872" s="24"/>
    </row>
    <row r="3873" spans="7:178" x14ac:dyDescent="0.4">
      <c r="G3873" s="36"/>
      <c r="FV3873" s="24"/>
    </row>
    <row r="3874" spans="7:178" x14ac:dyDescent="0.4">
      <c r="G3874" s="36"/>
      <c r="FV3874" s="24"/>
    </row>
    <row r="3875" spans="7:178" x14ac:dyDescent="0.4">
      <c r="G3875" s="36"/>
      <c r="FV3875" s="24"/>
    </row>
    <row r="3876" spans="7:178" x14ac:dyDescent="0.4">
      <c r="G3876" s="36"/>
      <c r="FV3876" s="24"/>
    </row>
    <row r="3877" spans="7:178" x14ac:dyDescent="0.4">
      <c r="G3877" s="36"/>
      <c r="FV3877" s="24"/>
    </row>
    <row r="3878" spans="7:178" x14ac:dyDescent="0.4">
      <c r="G3878" s="36"/>
      <c r="FV3878" s="24"/>
    </row>
    <row r="3879" spans="7:178" x14ac:dyDescent="0.4">
      <c r="G3879" s="36"/>
      <c r="FV3879" s="24"/>
    </row>
    <row r="3880" spans="7:178" x14ac:dyDescent="0.4">
      <c r="G3880" s="36"/>
      <c r="FV3880" s="24"/>
    </row>
    <row r="3881" spans="7:178" x14ac:dyDescent="0.4">
      <c r="G3881" s="36"/>
      <c r="FV3881" s="24"/>
    </row>
    <row r="3882" spans="7:178" x14ac:dyDescent="0.4">
      <c r="G3882" s="36"/>
      <c r="FV3882" s="24"/>
    </row>
    <row r="3883" spans="7:178" x14ac:dyDescent="0.4">
      <c r="G3883" s="36"/>
      <c r="FV3883" s="24"/>
    </row>
    <row r="3884" spans="7:178" x14ac:dyDescent="0.4">
      <c r="G3884" s="36"/>
      <c r="FV3884" s="24"/>
    </row>
    <row r="3885" spans="7:178" x14ac:dyDescent="0.4">
      <c r="G3885" s="36"/>
      <c r="FV3885" s="24"/>
    </row>
    <row r="3886" spans="7:178" x14ac:dyDescent="0.4">
      <c r="G3886" s="36"/>
      <c r="FV3886" s="24"/>
    </row>
    <row r="3887" spans="7:178" x14ac:dyDescent="0.4">
      <c r="G3887" s="36"/>
      <c r="FV3887" s="24"/>
    </row>
    <row r="3888" spans="7:178" x14ac:dyDescent="0.4">
      <c r="G3888" s="36"/>
      <c r="FV3888" s="24"/>
    </row>
    <row r="3889" spans="7:178" x14ac:dyDescent="0.4">
      <c r="G3889" s="36"/>
      <c r="FV3889" s="24"/>
    </row>
    <row r="3890" spans="7:178" x14ac:dyDescent="0.4">
      <c r="G3890" s="36"/>
      <c r="FV3890" s="24"/>
    </row>
    <row r="3891" spans="7:178" x14ac:dyDescent="0.4">
      <c r="G3891" s="36"/>
      <c r="FV3891" s="24"/>
    </row>
    <row r="3892" spans="7:178" x14ac:dyDescent="0.4">
      <c r="G3892" s="36"/>
      <c r="FV3892" s="24"/>
    </row>
    <row r="3893" spans="7:178" x14ac:dyDescent="0.4">
      <c r="G3893" s="36"/>
      <c r="FV3893" s="24"/>
    </row>
    <row r="3894" spans="7:178" x14ac:dyDescent="0.4">
      <c r="G3894" s="36"/>
      <c r="FV3894" s="24"/>
    </row>
    <row r="3895" spans="7:178" x14ac:dyDescent="0.4">
      <c r="G3895" s="36"/>
      <c r="FV3895" s="24"/>
    </row>
    <row r="3896" spans="7:178" x14ac:dyDescent="0.4">
      <c r="G3896" s="36"/>
      <c r="FV3896" s="24"/>
    </row>
    <row r="3897" spans="7:178" x14ac:dyDescent="0.4">
      <c r="G3897" s="36"/>
      <c r="FV3897" s="24"/>
    </row>
    <row r="3898" spans="7:178" x14ac:dyDescent="0.4">
      <c r="G3898" s="36"/>
      <c r="FV3898" s="24"/>
    </row>
    <row r="3899" spans="7:178" x14ac:dyDescent="0.4">
      <c r="G3899" s="36"/>
      <c r="FV3899" s="24"/>
    </row>
    <row r="3900" spans="7:178" x14ac:dyDescent="0.4">
      <c r="G3900" s="36"/>
      <c r="FV3900" s="24"/>
    </row>
    <row r="3901" spans="7:178" x14ac:dyDescent="0.4">
      <c r="G3901" s="36"/>
      <c r="FV3901" s="24"/>
    </row>
    <row r="3902" spans="7:178" x14ac:dyDescent="0.4">
      <c r="G3902" s="36"/>
      <c r="FV3902" s="24"/>
    </row>
    <row r="3903" spans="7:178" x14ac:dyDescent="0.4">
      <c r="G3903" s="36"/>
      <c r="FV3903" s="24"/>
    </row>
    <row r="3904" spans="7:178" x14ac:dyDescent="0.4">
      <c r="G3904" s="36"/>
      <c r="FV3904" s="24"/>
    </row>
    <row r="3905" spans="7:178" x14ac:dyDescent="0.4">
      <c r="G3905" s="36"/>
      <c r="FV3905" s="24"/>
    </row>
    <row r="3906" spans="7:178" x14ac:dyDescent="0.4">
      <c r="G3906" s="36"/>
      <c r="FV3906" s="24"/>
    </row>
    <row r="3907" spans="7:178" x14ac:dyDescent="0.4">
      <c r="G3907" s="36"/>
      <c r="FV3907" s="24"/>
    </row>
    <row r="3908" spans="7:178" x14ac:dyDescent="0.4">
      <c r="G3908" s="36"/>
      <c r="FV3908" s="24"/>
    </row>
    <row r="3909" spans="7:178" x14ac:dyDescent="0.4">
      <c r="G3909" s="36"/>
      <c r="FV3909" s="24"/>
    </row>
    <row r="3910" spans="7:178" x14ac:dyDescent="0.4">
      <c r="G3910" s="36"/>
      <c r="FV3910" s="24"/>
    </row>
    <row r="3911" spans="7:178" x14ac:dyDescent="0.4">
      <c r="G3911" s="36"/>
      <c r="FV3911" s="24"/>
    </row>
    <row r="3912" spans="7:178" x14ac:dyDescent="0.4">
      <c r="G3912" s="36"/>
      <c r="FV3912" s="24"/>
    </row>
    <row r="3913" spans="7:178" x14ac:dyDescent="0.4">
      <c r="G3913" s="36"/>
      <c r="FV3913" s="24"/>
    </row>
    <row r="3914" spans="7:178" x14ac:dyDescent="0.4">
      <c r="G3914" s="36"/>
      <c r="FV3914" s="24"/>
    </row>
    <row r="3915" spans="7:178" x14ac:dyDescent="0.4">
      <c r="G3915" s="36"/>
      <c r="FV3915" s="24"/>
    </row>
    <row r="3916" spans="7:178" x14ac:dyDescent="0.4">
      <c r="G3916" s="36"/>
      <c r="FV3916" s="24"/>
    </row>
    <row r="3917" spans="7:178" x14ac:dyDescent="0.4">
      <c r="G3917" s="36"/>
      <c r="FV3917" s="24"/>
    </row>
    <row r="3918" spans="7:178" x14ac:dyDescent="0.4">
      <c r="G3918" s="36"/>
      <c r="FV3918" s="24"/>
    </row>
    <row r="3919" spans="7:178" x14ac:dyDescent="0.4">
      <c r="G3919" s="36"/>
      <c r="FV3919" s="24"/>
    </row>
    <row r="3920" spans="7:178" x14ac:dyDescent="0.4">
      <c r="G3920" s="36"/>
      <c r="FV3920" s="24"/>
    </row>
    <row r="3921" spans="7:178" x14ac:dyDescent="0.4">
      <c r="G3921" s="36"/>
      <c r="FV3921" s="24"/>
    </row>
    <row r="3922" spans="7:178" x14ac:dyDescent="0.4">
      <c r="G3922" s="36"/>
      <c r="FV3922" s="24"/>
    </row>
    <row r="3923" spans="7:178" x14ac:dyDescent="0.4">
      <c r="G3923" s="36"/>
      <c r="FV3923" s="24"/>
    </row>
    <row r="3924" spans="7:178" x14ac:dyDescent="0.4">
      <c r="G3924" s="36"/>
      <c r="FV3924" s="24"/>
    </row>
    <row r="3925" spans="7:178" x14ac:dyDescent="0.4">
      <c r="G3925" s="36"/>
      <c r="FV3925" s="24"/>
    </row>
    <row r="3926" spans="7:178" x14ac:dyDescent="0.4">
      <c r="G3926" s="36"/>
      <c r="FV3926" s="24"/>
    </row>
    <row r="3927" spans="7:178" x14ac:dyDescent="0.4">
      <c r="G3927" s="36"/>
      <c r="FV3927" s="24"/>
    </row>
    <row r="3928" spans="7:178" x14ac:dyDescent="0.4">
      <c r="G3928" s="36"/>
      <c r="FV3928" s="24"/>
    </row>
    <row r="3929" spans="7:178" x14ac:dyDescent="0.4">
      <c r="G3929" s="36"/>
      <c r="FV3929" s="24"/>
    </row>
    <row r="3930" spans="7:178" x14ac:dyDescent="0.4">
      <c r="G3930" s="36"/>
      <c r="FV3930" s="24"/>
    </row>
    <row r="3931" spans="7:178" x14ac:dyDescent="0.4">
      <c r="G3931" s="36"/>
      <c r="FV3931" s="24"/>
    </row>
    <row r="3932" spans="7:178" x14ac:dyDescent="0.4">
      <c r="G3932" s="36"/>
      <c r="FV3932" s="24"/>
    </row>
    <row r="3933" spans="7:178" x14ac:dyDescent="0.4">
      <c r="G3933" s="36"/>
      <c r="FV3933" s="24"/>
    </row>
    <row r="3934" spans="7:178" x14ac:dyDescent="0.4">
      <c r="G3934" s="36"/>
      <c r="FV3934" s="24"/>
    </row>
    <row r="3935" spans="7:178" x14ac:dyDescent="0.4">
      <c r="G3935" s="36"/>
      <c r="FV3935" s="24"/>
    </row>
    <row r="3936" spans="7:178" x14ac:dyDescent="0.4">
      <c r="G3936" s="36"/>
      <c r="FV3936" s="24"/>
    </row>
    <row r="3937" spans="7:178" x14ac:dyDescent="0.4">
      <c r="G3937" s="36"/>
      <c r="FV3937" s="24"/>
    </row>
    <row r="3938" spans="7:178" x14ac:dyDescent="0.4">
      <c r="G3938" s="36"/>
      <c r="FV3938" s="24"/>
    </row>
    <row r="3939" spans="7:178" x14ac:dyDescent="0.4">
      <c r="G3939" s="36"/>
      <c r="FV3939" s="24"/>
    </row>
    <row r="3940" spans="7:178" x14ac:dyDescent="0.4">
      <c r="G3940" s="36"/>
      <c r="FV3940" s="24"/>
    </row>
    <row r="3941" spans="7:178" x14ac:dyDescent="0.4">
      <c r="G3941" s="36"/>
      <c r="FV3941" s="24"/>
    </row>
    <row r="3942" spans="7:178" x14ac:dyDescent="0.4">
      <c r="G3942" s="36"/>
      <c r="FV3942" s="24"/>
    </row>
    <row r="3943" spans="7:178" x14ac:dyDescent="0.4">
      <c r="G3943" s="36"/>
      <c r="FV3943" s="24"/>
    </row>
    <row r="3944" spans="7:178" x14ac:dyDescent="0.4">
      <c r="G3944" s="36"/>
      <c r="FV3944" s="24"/>
    </row>
    <row r="3945" spans="7:178" x14ac:dyDescent="0.4">
      <c r="G3945" s="36"/>
      <c r="FV3945" s="24"/>
    </row>
    <row r="3946" spans="7:178" x14ac:dyDescent="0.4">
      <c r="G3946" s="36"/>
      <c r="FV3946" s="24"/>
    </row>
    <row r="3947" spans="7:178" x14ac:dyDescent="0.4">
      <c r="G3947" s="36"/>
      <c r="FV3947" s="24"/>
    </row>
    <row r="3948" spans="7:178" x14ac:dyDescent="0.4">
      <c r="G3948" s="36"/>
      <c r="FV3948" s="24"/>
    </row>
    <row r="3949" spans="7:178" x14ac:dyDescent="0.4">
      <c r="G3949" s="36"/>
      <c r="FV3949" s="24"/>
    </row>
    <row r="3950" spans="7:178" x14ac:dyDescent="0.4">
      <c r="G3950" s="36"/>
      <c r="FV3950" s="24"/>
    </row>
    <row r="3951" spans="7:178" x14ac:dyDescent="0.4">
      <c r="G3951" s="36"/>
      <c r="FV3951" s="24"/>
    </row>
    <row r="3952" spans="7:178" x14ac:dyDescent="0.4">
      <c r="G3952" s="36"/>
      <c r="FV3952" s="24"/>
    </row>
    <row r="3953" spans="7:178" x14ac:dyDescent="0.4">
      <c r="G3953" s="36"/>
      <c r="FV3953" s="24"/>
    </row>
    <row r="3954" spans="7:178" x14ac:dyDescent="0.4">
      <c r="G3954" s="36"/>
      <c r="FV3954" s="24"/>
    </row>
    <row r="3955" spans="7:178" x14ac:dyDescent="0.4">
      <c r="G3955" s="36"/>
      <c r="FV3955" s="24"/>
    </row>
    <row r="3956" spans="7:178" x14ac:dyDescent="0.4">
      <c r="G3956" s="36"/>
      <c r="FV3956" s="24"/>
    </row>
    <row r="3957" spans="7:178" x14ac:dyDescent="0.4">
      <c r="G3957" s="36"/>
      <c r="FV3957" s="24"/>
    </row>
    <row r="3958" spans="7:178" x14ac:dyDescent="0.4">
      <c r="G3958" s="36"/>
      <c r="FV3958" s="24"/>
    </row>
    <row r="3959" spans="7:178" x14ac:dyDescent="0.4">
      <c r="G3959" s="36"/>
      <c r="FV3959" s="24"/>
    </row>
    <row r="3960" spans="7:178" x14ac:dyDescent="0.4">
      <c r="G3960" s="36"/>
      <c r="FV3960" s="24"/>
    </row>
    <row r="3961" spans="7:178" x14ac:dyDescent="0.4">
      <c r="G3961" s="36"/>
      <c r="FV3961" s="24"/>
    </row>
    <row r="3962" spans="7:178" x14ac:dyDescent="0.4">
      <c r="G3962" s="36"/>
      <c r="FV3962" s="24"/>
    </row>
    <row r="3963" spans="7:178" x14ac:dyDescent="0.4">
      <c r="G3963" s="36"/>
      <c r="FV3963" s="24"/>
    </row>
    <row r="3964" spans="7:178" x14ac:dyDescent="0.4">
      <c r="G3964" s="36"/>
      <c r="FV3964" s="24"/>
    </row>
    <row r="3965" spans="7:178" x14ac:dyDescent="0.4">
      <c r="G3965" s="36"/>
      <c r="FV3965" s="24"/>
    </row>
    <row r="3966" spans="7:178" x14ac:dyDescent="0.4">
      <c r="G3966" s="36"/>
      <c r="FV3966" s="24"/>
    </row>
    <row r="3967" spans="7:178" x14ac:dyDescent="0.4">
      <c r="G3967" s="36"/>
      <c r="FV3967" s="24"/>
    </row>
    <row r="3968" spans="7:178" x14ac:dyDescent="0.4">
      <c r="G3968" s="36"/>
      <c r="FV3968" s="24"/>
    </row>
    <row r="3969" spans="7:178" x14ac:dyDescent="0.4">
      <c r="G3969" s="36"/>
      <c r="FV3969" s="24"/>
    </row>
    <row r="3970" spans="7:178" x14ac:dyDescent="0.4">
      <c r="G3970" s="36"/>
      <c r="FV3970" s="24"/>
    </row>
    <row r="3971" spans="7:178" x14ac:dyDescent="0.4">
      <c r="G3971" s="36"/>
      <c r="FV3971" s="24"/>
    </row>
    <row r="3972" spans="7:178" x14ac:dyDescent="0.4">
      <c r="G3972" s="36"/>
      <c r="FV3972" s="24"/>
    </row>
    <row r="3973" spans="7:178" x14ac:dyDescent="0.4">
      <c r="G3973" s="36"/>
      <c r="FV3973" s="24"/>
    </row>
    <row r="3974" spans="7:178" x14ac:dyDescent="0.4">
      <c r="G3974" s="36"/>
      <c r="FV3974" s="24"/>
    </row>
    <row r="3975" spans="7:178" x14ac:dyDescent="0.4">
      <c r="G3975" s="36"/>
      <c r="FV3975" s="24"/>
    </row>
    <row r="3976" spans="7:178" x14ac:dyDescent="0.4">
      <c r="G3976" s="36"/>
      <c r="FV3976" s="24"/>
    </row>
    <row r="3977" spans="7:178" x14ac:dyDescent="0.4">
      <c r="G3977" s="36"/>
      <c r="FV3977" s="24"/>
    </row>
    <row r="3978" spans="7:178" x14ac:dyDescent="0.4">
      <c r="G3978" s="36"/>
      <c r="FV3978" s="24"/>
    </row>
    <row r="3979" spans="7:178" x14ac:dyDescent="0.4">
      <c r="G3979" s="36"/>
      <c r="FV3979" s="24"/>
    </row>
    <row r="3980" spans="7:178" x14ac:dyDescent="0.4">
      <c r="G3980" s="36"/>
      <c r="FV3980" s="24"/>
    </row>
    <row r="3981" spans="7:178" x14ac:dyDescent="0.4">
      <c r="G3981" s="36"/>
      <c r="FV3981" s="24"/>
    </row>
    <row r="3982" spans="7:178" x14ac:dyDescent="0.4">
      <c r="G3982" s="36"/>
      <c r="FV3982" s="24"/>
    </row>
    <row r="3983" spans="7:178" x14ac:dyDescent="0.4">
      <c r="G3983" s="36"/>
      <c r="FV3983" s="24"/>
    </row>
    <row r="3984" spans="7:178" x14ac:dyDescent="0.4">
      <c r="G3984" s="36"/>
      <c r="FV3984" s="24"/>
    </row>
    <row r="3985" spans="7:178" x14ac:dyDescent="0.4">
      <c r="G3985" s="36"/>
      <c r="FV3985" s="24"/>
    </row>
    <row r="3986" spans="7:178" x14ac:dyDescent="0.4">
      <c r="G3986" s="36"/>
      <c r="FV3986" s="24"/>
    </row>
    <row r="3987" spans="7:178" x14ac:dyDescent="0.4">
      <c r="G3987" s="36"/>
      <c r="FV3987" s="24"/>
    </row>
    <row r="3988" spans="7:178" x14ac:dyDescent="0.4">
      <c r="G3988" s="36"/>
      <c r="FV3988" s="24"/>
    </row>
    <row r="3989" spans="7:178" x14ac:dyDescent="0.4">
      <c r="G3989" s="36"/>
      <c r="FV3989" s="24"/>
    </row>
    <row r="3990" spans="7:178" x14ac:dyDescent="0.4">
      <c r="G3990" s="36"/>
      <c r="FV3990" s="24"/>
    </row>
    <row r="3991" spans="7:178" x14ac:dyDescent="0.4">
      <c r="G3991" s="36"/>
      <c r="FV3991" s="24"/>
    </row>
    <row r="3992" spans="7:178" x14ac:dyDescent="0.4">
      <c r="G3992" s="36"/>
      <c r="FV3992" s="24"/>
    </row>
    <row r="3993" spans="7:178" x14ac:dyDescent="0.4">
      <c r="G3993" s="36"/>
      <c r="FV3993" s="24"/>
    </row>
    <row r="3994" spans="7:178" x14ac:dyDescent="0.4">
      <c r="G3994" s="36"/>
      <c r="FV3994" s="24"/>
    </row>
    <row r="3995" spans="7:178" x14ac:dyDescent="0.4">
      <c r="G3995" s="36"/>
      <c r="FV3995" s="24"/>
    </row>
    <row r="3996" spans="7:178" x14ac:dyDescent="0.4">
      <c r="G3996" s="36"/>
      <c r="FV3996" s="24"/>
    </row>
    <row r="3997" spans="7:178" x14ac:dyDescent="0.4">
      <c r="G3997" s="36"/>
      <c r="FV3997" s="24"/>
    </row>
    <row r="3998" spans="7:178" x14ac:dyDescent="0.4">
      <c r="G3998" s="36"/>
      <c r="FV3998" s="24"/>
    </row>
    <row r="3999" spans="7:178" x14ac:dyDescent="0.4">
      <c r="G3999" s="36"/>
      <c r="FV3999" s="24"/>
    </row>
    <row r="4000" spans="7:178" x14ac:dyDescent="0.4">
      <c r="G4000" s="36"/>
      <c r="FV4000" s="24"/>
    </row>
    <row r="4001" spans="7:178" x14ac:dyDescent="0.4">
      <c r="G4001" s="36"/>
      <c r="FV4001" s="24"/>
    </row>
    <row r="4002" spans="7:178" x14ac:dyDescent="0.4">
      <c r="G4002" s="36"/>
      <c r="FV4002" s="24"/>
    </row>
    <row r="4003" spans="7:178" x14ac:dyDescent="0.4">
      <c r="G4003" s="36"/>
      <c r="FV4003" s="24"/>
    </row>
    <row r="4004" spans="7:178" x14ac:dyDescent="0.4">
      <c r="G4004" s="36"/>
      <c r="FV4004" s="24"/>
    </row>
    <row r="4005" spans="7:178" x14ac:dyDescent="0.4">
      <c r="G4005" s="36"/>
      <c r="FV4005" s="24"/>
    </row>
    <row r="4006" spans="7:178" x14ac:dyDescent="0.4">
      <c r="G4006" s="36"/>
      <c r="FV4006" s="24"/>
    </row>
    <row r="4007" spans="7:178" x14ac:dyDescent="0.4">
      <c r="G4007" s="36"/>
      <c r="FV4007" s="24"/>
    </row>
    <row r="4008" spans="7:178" x14ac:dyDescent="0.4">
      <c r="G4008" s="36"/>
      <c r="FV4008" s="24"/>
    </row>
    <row r="4009" spans="7:178" x14ac:dyDescent="0.4">
      <c r="G4009" s="36"/>
      <c r="FV4009" s="24"/>
    </row>
    <row r="4010" spans="7:178" x14ac:dyDescent="0.4">
      <c r="G4010" s="36"/>
      <c r="FV4010" s="24"/>
    </row>
    <row r="4011" spans="7:178" x14ac:dyDescent="0.4">
      <c r="G4011" s="36"/>
      <c r="FV4011" s="24"/>
    </row>
    <row r="4012" spans="7:178" x14ac:dyDescent="0.4">
      <c r="G4012" s="36"/>
      <c r="FV4012" s="24"/>
    </row>
    <row r="4013" spans="7:178" x14ac:dyDescent="0.4">
      <c r="G4013" s="36"/>
      <c r="FV4013" s="24"/>
    </row>
    <row r="4014" spans="7:178" x14ac:dyDescent="0.4">
      <c r="G4014" s="36"/>
      <c r="FV4014" s="24"/>
    </row>
    <row r="4015" spans="7:178" x14ac:dyDescent="0.4">
      <c r="G4015" s="36"/>
      <c r="FV4015" s="24"/>
    </row>
    <row r="4016" spans="7:178" x14ac:dyDescent="0.4">
      <c r="G4016" s="36"/>
      <c r="FV4016" s="24"/>
    </row>
    <row r="4017" spans="7:178" x14ac:dyDescent="0.4">
      <c r="G4017" s="36"/>
      <c r="FV4017" s="24"/>
    </row>
    <row r="4018" spans="7:178" x14ac:dyDescent="0.4">
      <c r="G4018" s="36"/>
      <c r="FV4018" s="24"/>
    </row>
    <row r="4019" spans="7:178" x14ac:dyDescent="0.4">
      <c r="G4019" s="36"/>
      <c r="FV4019" s="24"/>
    </row>
    <row r="4020" spans="7:178" x14ac:dyDescent="0.4">
      <c r="G4020" s="36"/>
      <c r="FV4020" s="24"/>
    </row>
    <row r="4021" spans="7:178" x14ac:dyDescent="0.4">
      <c r="G4021" s="36"/>
      <c r="FV4021" s="24"/>
    </row>
    <row r="4022" spans="7:178" x14ac:dyDescent="0.4">
      <c r="G4022" s="36"/>
      <c r="FV4022" s="24"/>
    </row>
    <row r="4023" spans="7:178" x14ac:dyDescent="0.4">
      <c r="G4023" s="36"/>
      <c r="FV4023" s="24"/>
    </row>
    <row r="4024" spans="7:178" x14ac:dyDescent="0.4">
      <c r="G4024" s="36"/>
      <c r="FV4024" s="24"/>
    </row>
    <row r="4025" spans="7:178" x14ac:dyDescent="0.4">
      <c r="G4025" s="36"/>
      <c r="FV4025" s="24"/>
    </row>
    <row r="4026" spans="7:178" x14ac:dyDescent="0.4">
      <c r="G4026" s="36"/>
      <c r="FV4026" s="24"/>
    </row>
    <row r="4027" spans="7:178" x14ac:dyDescent="0.4">
      <c r="G4027" s="36"/>
      <c r="FV4027" s="24"/>
    </row>
    <row r="4028" spans="7:178" x14ac:dyDescent="0.4">
      <c r="G4028" s="36"/>
      <c r="FV4028" s="24"/>
    </row>
    <row r="4029" spans="7:178" x14ac:dyDescent="0.4">
      <c r="G4029" s="36"/>
      <c r="FV4029" s="24"/>
    </row>
    <row r="4030" spans="7:178" x14ac:dyDescent="0.4">
      <c r="G4030" s="36"/>
      <c r="FV4030" s="24"/>
    </row>
    <row r="4031" spans="7:178" x14ac:dyDescent="0.4">
      <c r="G4031" s="36"/>
      <c r="FV4031" s="24"/>
    </row>
    <row r="4032" spans="7:178" x14ac:dyDescent="0.4">
      <c r="G4032" s="36"/>
      <c r="FV4032" s="24"/>
    </row>
    <row r="4033" spans="7:178" x14ac:dyDescent="0.4">
      <c r="G4033" s="36"/>
      <c r="FV4033" s="24"/>
    </row>
    <row r="4034" spans="7:178" x14ac:dyDescent="0.4">
      <c r="G4034" s="36"/>
      <c r="FV4034" s="24"/>
    </row>
    <row r="4035" spans="7:178" x14ac:dyDescent="0.4">
      <c r="G4035" s="36"/>
      <c r="FV4035" s="24"/>
    </row>
    <row r="4036" spans="7:178" x14ac:dyDescent="0.4">
      <c r="G4036" s="36"/>
      <c r="FV4036" s="24"/>
    </row>
    <row r="4037" spans="7:178" x14ac:dyDescent="0.4">
      <c r="G4037" s="36"/>
      <c r="FV4037" s="24"/>
    </row>
    <row r="4038" spans="7:178" x14ac:dyDescent="0.4">
      <c r="G4038" s="36"/>
      <c r="FV4038" s="24"/>
    </row>
    <row r="4039" spans="7:178" x14ac:dyDescent="0.4">
      <c r="G4039" s="36"/>
      <c r="FV4039" s="24"/>
    </row>
    <row r="4040" spans="7:178" x14ac:dyDescent="0.4">
      <c r="G4040" s="36"/>
      <c r="FV4040" s="24"/>
    </row>
    <row r="4041" spans="7:178" x14ac:dyDescent="0.4">
      <c r="G4041" s="36"/>
      <c r="FV4041" s="24"/>
    </row>
    <row r="4042" spans="7:178" x14ac:dyDescent="0.4">
      <c r="G4042" s="36"/>
      <c r="FV4042" s="24"/>
    </row>
    <row r="4043" spans="7:178" x14ac:dyDescent="0.4">
      <c r="G4043" s="36"/>
      <c r="FV4043" s="24"/>
    </row>
    <row r="4044" spans="7:178" x14ac:dyDescent="0.4">
      <c r="G4044" s="36"/>
      <c r="FV4044" s="24"/>
    </row>
    <row r="4045" spans="7:178" x14ac:dyDescent="0.4">
      <c r="G4045" s="36"/>
      <c r="FV4045" s="24"/>
    </row>
    <row r="4046" spans="7:178" x14ac:dyDescent="0.4">
      <c r="G4046" s="36"/>
      <c r="FV4046" s="24"/>
    </row>
    <row r="4047" spans="7:178" x14ac:dyDescent="0.4">
      <c r="G4047" s="36"/>
      <c r="FV4047" s="24"/>
    </row>
    <row r="4048" spans="7:178" x14ac:dyDescent="0.4">
      <c r="G4048" s="36"/>
      <c r="FV4048" s="24"/>
    </row>
    <row r="4049" spans="7:178" x14ac:dyDescent="0.4">
      <c r="G4049" s="36"/>
      <c r="FV4049" s="24"/>
    </row>
    <row r="4050" spans="7:178" x14ac:dyDescent="0.4">
      <c r="G4050" s="36"/>
      <c r="FV4050" s="24"/>
    </row>
    <row r="4051" spans="7:178" x14ac:dyDescent="0.4">
      <c r="G4051" s="36"/>
      <c r="FV4051" s="24"/>
    </row>
    <row r="4052" spans="7:178" x14ac:dyDescent="0.4">
      <c r="G4052" s="36"/>
      <c r="FV4052" s="24"/>
    </row>
    <row r="4053" spans="7:178" x14ac:dyDescent="0.4">
      <c r="G4053" s="36"/>
      <c r="FV4053" s="24"/>
    </row>
    <row r="4054" spans="7:178" x14ac:dyDescent="0.4">
      <c r="G4054" s="36"/>
      <c r="FV4054" s="24"/>
    </row>
    <row r="4055" spans="7:178" x14ac:dyDescent="0.4">
      <c r="G4055" s="36"/>
      <c r="FV4055" s="24"/>
    </row>
    <row r="4056" spans="7:178" x14ac:dyDescent="0.4">
      <c r="G4056" s="36"/>
      <c r="FV4056" s="24"/>
    </row>
    <row r="4057" spans="7:178" x14ac:dyDescent="0.4">
      <c r="G4057" s="36"/>
      <c r="FV4057" s="24"/>
    </row>
    <row r="4058" spans="7:178" x14ac:dyDescent="0.4">
      <c r="G4058" s="36"/>
      <c r="FV4058" s="24"/>
    </row>
    <row r="4059" spans="7:178" x14ac:dyDescent="0.4">
      <c r="G4059" s="36"/>
      <c r="FV4059" s="24"/>
    </row>
    <row r="4060" spans="7:178" x14ac:dyDescent="0.4">
      <c r="G4060" s="36"/>
      <c r="FV4060" s="24"/>
    </row>
    <row r="4061" spans="7:178" x14ac:dyDescent="0.4">
      <c r="G4061" s="36"/>
      <c r="FV4061" s="24"/>
    </row>
    <row r="4062" spans="7:178" x14ac:dyDescent="0.4">
      <c r="G4062" s="36"/>
      <c r="FV4062" s="24"/>
    </row>
    <row r="4063" spans="7:178" x14ac:dyDescent="0.4">
      <c r="G4063" s="36"/>
      <c r="FV4063" s="24"/>
    </row>
    <row r="4064" spans="7:178" x14ac:dyDescent="0.4">
      <c r="G4064" s="36"/>
      <c r="FV4064" s="24"/>
    </row>
    <row r="4065" spans="7:178" x14ac:dyDescent="0.4">
      <c r="G4065" s="36"/>
      <c r="FV4065" s="24"/>
    </row>
    <row r="4066" spans="7:178" x14ac:dyDescent="0.4">
      <c r="G4066" s="36"/>
      <c r="FV4066" s="24"/>
    </row>
    <row r="4067" spans="7:178" x14ac:dyDescent="0.4">
      <c r="G4067" s="36"/>
      <c r="FV4067" s="24"/>
    </row>
    <row r="4068" spans="7:178" x14ac:dyDescent="0.4">
      <c r="G4068" s="36"/>
      <c r="FV4068" s="24"/>
    </row>
    <row r="4069" spans="7:178" x14ac:dyDescent="0.4">
      <c r="G4069" s="36"/>
      <c r="FV4069" s="24"/>
    </row>
    <row r="4070" spans="7:178" x14ac:dyDescent="0.4">
      <c r="G4070" s="36"/>
      <c r="FV4070" s="24"/>
    </row>
    <row r="4071" spans="7:178" x14ac:dyDescent="0.4">
      <c r="G4071" s="36"/>
      <c r="FV4071" s="24"/>
    </row>
    <row r="4072" spans="7:178" x14ac:dyDescent="0.4">
      <c r="G4072" s="36"/>
      <c r="FV4072" s="24"/>
    </row>
    <row r="4073" spans="7:178" x14ac:dyDescent="0.4">
      <c r="G4073" s="36"/>
      <c r="FV4073" s="24"/>
    </row>
    <row r="4074" spans="7:178" x14ac:dyDescent="0.4">
      <c r="G4074" s="36"/>
      <c r="FV4074" s="24"/>
    </row>
    <row r="4075" spans="7:178" x14ac:dyDescent="0.4">
      <c r="G4075" s="36"/>
      <c r="FV4075" s="24"/>
    </row>
    <row r="4076" spans="7:178" x14ac:dyDescent="0.4">
      <c r="G4076" s="36"/>
      <c r="FV4076" s="24"/>
    </row>
    <row r="4077" spans="7:178" x14ac:dyDescent="0.4">
      <c r="G4077" s="36"/>
      <c r="FV4077" s="24"/>
    </row>
    <row r="4078" spans="7:178" x14ac:dyDescent="0.4">
      <c r="G4078" s="36"/>
      <c r="FV4078" s="24"/>
    </row>
    <row r="4079" spans="7:178" x14ac:dyDescent="0.4">
      <c r="G4079" s="36"/>
      <c r="FV4079" s="24"/>
    </row>
    <row r="4080" spans="7:178" x14ac:dyDescent="0.4">
      <c r="G4080" s="36"/>
      <c r="FV4080" s="24"/>
    </row>
    <row r="4081" spans="7:178" x14ac:dyDescent="0.4">
      <c r="G4081" s="36"/>
      <c r="FV4081" s="24"/>
    </row>
    <row r="4082" spans="7:178" x14ac:dyDescent="0.4">
      <c r="G4082" s="36"/>
      <c r="FV4082" s="24"/>
    </row>
    <row r="4083" spans="7:178" x14ac:dyDescent="0.4">
      <c r="G4083" s="36"/>
      <c r="FV4083" s="24"/>
    </row>
    <row r="4084" spans="7:178" x14ac:dyDescent="0.4">
      <c r="G4084" s="36"/>
      <c r="FV4084" s="24"/>
    </row>
    <row r="4085" spans="7:178" x14ac:dyDescent="0.4">
      <c r="G4085" s="36"/>
      <c r="FV4085" s="24"/>
    </row>
    <row r="4086" spans="7:178" x14ac:dyDescent="0.4">
      <c r="G4086" s="36"/>
      <c r="FV4086" s="24"/>
    </row>
    <row r="4087" spans="7:178" x14ac:dyDescent="0.4">
      <c r="G4087" s="36"/>
      <c r="FV4087" s="24"/>
    </row>
    <row r="4088" spans="7:178" x14ac:dyDescent="0.4">
      <c r="G4088" s="36"/>
      <c r="FV4088" s="24"/>
    </row>
    <row r="4089" spans="7:178" x14ac:dyDescent="0.4">
      <c r="G4089" s="36"/>
      <c r="FV4089" s="24"/>
    </row>
    <row r="4090" spans="7:178" x14ac:dyDescent="0.4">
      <c r="G4090" s="36"/>
      <c r="FV4090" s="24"/>
    </row>
    <row r="4091" spans="7:178" x14ac:dyDescent="0.4">
      <c r="G4091" s="36"/>
      <c r="FV4091" s="24"/>
    </row>
    <row r="4092" spans="7:178" x14ac:dyDescent="0.4">
      <c r="G4092" s="36"/>
      <c r="FV4092" s="24"/>
    </row>
    <row r="4093" spans="7:178" x14ac:dyDescent="0.4">
      <c r="G4093" s="36"/>
      <c r="FV4093" s="24"/>
    </row>
    <row r="4094" spans="7:178" x14ac:dyDescent="0.4">
      <c r="G4094" s="36"/>
      <c r="FV4094" s="24"/>
    </row>
    <row r="4095" spans="7:178" x14ac:dyDescent="0.4">
      <c r="G4095" s="36"/>
      <c r="FV4095" s="24"/>
    </row>
    <row r="4096" spans="7:178" x14ac:dyDescent="0.4">
      <c r="G4096" s="36"/>
      <c r="FV4096" s="24"/>
    </row>
    <row r="4097" spans="7:178" x14ac:dyDescent="0.4">
      <c r="G4097" s="36"/>
      <c r="FV4097" s="24"/>
    </row>
    <row r="4098" spans="7:178" x14ac:dyDescent="0.4">
      <c r="G4098" s="36"/>
      <c r="FV4098" s="24"/>
    </row>
    <row r="4099" spans="7:178" x14ac:dyDescent="0.4">
      <c r="G4099" s="36"/>
      <c r="FV4099" s="24"/>
    </row>
    <row r="4100" spans="7:178" x14ac:dyDescent="0.4">
      <c r="G4100" s="36"/>
      <c r="FV4100" s="24"/>
    </row>
    <row r="4101" spans="7:178" x14ac:dyDescent="0.4">
      <c r="G4101" s="36"/>
      <c r="FV4101" s="24"/>
    </row>
    <row r="4102" spans="7:178" x14ac:dyDescent="0.4">
      <c r="G4102" s="36"/>
      <c r="FV4102" s="24"/>
    </row>
    <row r="4103" spans="7:178" x14ac:dyDescent="0.4">
      <c r="G4103" s="36"/>
      <c r="FV4103" s="24"/>
    </row>
    <row r="4104" spans="7:178" x14ac:dyDescent="0.4">
      <c r="G4104" s="36"/>
      <c r="FV4104" s="24"/>
    </row>
    <row r="4105" spans="7:178" x14ac:dyDescent="0.4">
      <c r="G4105" s="36"/>
      <c r="FV4105" s="24"/>
    </row>
    <row r="4106" spans="7:178" x14ac:dyDescent="0.4">
      <c r="G4106" s="36"/>
      <c r="FV4106" s="24"/>
    </row>
    <row r="4107" spans="7:178" x14ac:dyDescent="0.4">
      <c r="G4107" s="36"/>
      <c r="FV4107" s="24"/>
    </row>
    <row r="4108" spans="7:178" x14ac:dyDescent="0.4">
      <c r="G4108" s="36"/>
      <c r="FV4108" s="24"/>
    </row>
    <row r="4109" spans="7:178" x14ac:dyDescent="0.4">
      <c r="G4109" s="36"/>
      <c r="FV4109" s="24"/>
    </row>
    <row r="4110" spans="7:178" x14ac:dyDescent="0.4">
      <c r="G4110" s="36"/>
      <c r="FV4110" s="24"/>
    </row>
    <row r="4111" spans="7:178" x14ac:dyDescent="0.4">
      <c r="G4111" s="36"/>
      <c r="FV4111" s="24"/>
    </row>
    <row r="4112" spans="7:178" x14ac:dyDescent="0.4">
      <c r="G4112" s="36"/>
      <c r="FV4112" s="24"/>
    </row>
    <row r="4113" spans="7:178" x14ac:dyDescent="0.4">
      <c r="G4113" s="36"/>
      <c r="FV4113" s="24"/>
    </row>
    <row r="4114" spans="7:178" x14ac:dyDescent="0.4">
      <c r="G4114" s="36"/>
      <c r="FV4114" s="24"/>
    </row>
    <row r="4115" spans="7:178" x14ac:dyDescent="0.4">
      <c r="G4115" s="36"/>
      <c r="FV4115" s="24"/>
    </row>
    <row r="4116" spans="7:178" x14ac:dyDescent="0.4">
      <c r="G4116" s="36"/>
      <c r="FV4116" s="24"/>
    </row>
    <row r="4117" spans="7:178" x14ac:dyDescent="0.4">
      <c r="G4117" s="36"/>
      <c r="FV4117" s="24"/>
    </row>
    <row r="4118" spans="7:178" x14ac:dyDescent="0.4">
      <c r="G4118" s="36"/>
      <c r="FV4118" s="24"/>
    </row>
    <row r="4119" spans="7:178" x14ac:dyDescent="0.4">
      <c r="G4119" s="36"/>
      <c r="FV4119" s="24"/>
    </row>
    <row r="4120" spans="7:178" x14ac:dyDescent="0.4">
      <c r="G4120" s="36"/>
      <c r="FV4120" s="24"/>
    </row>
    <row r="4121" spans="7:178" x14ac:dyDescent="0.4">
      <c r="G4121" s="36"/>
      <c r="FV4121" s="24"/>
    </row>
    <row r="4122" spans="7:178" x14ac:dyDescent="0.4">
      <c r="G4122" s="36"/>
      <c r="FV4122" s="24"/>
    </row>
    <row r="4123" spans="7:178" x14ac:dyDescent="0.4">
      <c r="G4123" s="36"/>
      <c r="FV4123" s="24"/>
    </row>
    <row r="4124" spans="7:178" x14ac:dyDescent="0.4">
      <c r="G4124" s="36"/>
      <c r="FV4124" s="24"/>
    </row>
    <row r="4125" spans="7:178" x14ac:dyDescent="0.4">
      <c r="G4125" s="36"/>
      <c r="FV4125" s="24"/>
    </row>
    <row r="4126" spans="7:178" x14ac:dyDescent="0.4">
      <c r="G4126" s="36"/>
      <c r="FV4126" s="24"/>
    </row>
    <row r="4127" spans="7:178" x14ac:dyDescent="0.4">
      <c r="G4127" s="36"/>
      <c r="FV4127" s="24"/>
    </row>
    <row r="4128" spans="7:178" x14ac:dyDescent="0.4">
      <c r="G4128" s="36"/>
      <c r="FV4128" s="24"/>
    </row>
    <row r="4129" spans="7:178" x14ac:dyDescent="0.4">
      <c r="G4129" s="36"/>
      <c r="FV4129" s="24"/>
    </row>
    <row r="4130" spans="7:178" x14ac:dyDescent="0.4">
      <c r="G4130" s="36"/>
      <c r="FV4130" s="24"/>
    </row>
    <row r="4131" spans="7:178" x14ac:dyDescent="0.4">
      <c r="G4131" s="36"/>
      <c r="FV4131" s="24"/>
    </row>
    <row r="4132" spans="7:178" x14ac:dyDescent="0.4">
      <c r="G4132" s="36"/>
      <c r="FV4132" s="24"/>
    </row>
    <row r="4133" spans="7:178" x14ac:dyDescent="0.4">
      <c r="G4133" s="36"/>
      <c r="FV4133" s="24"/>
    </row>
    <row r="4134" spans="7:178" x14ac:dyDescent="0.4">
      <c r="G4134" s="36"/>
      <c r="FV4134" s="24"/>
    </row>
    <row r="4135" spans="7:178" x14ac:dyDescent="0.4">
      <c r="G4135" s="36"/>
      <c r="FV4135" s="24"/>
    </row>
    <row r="4136" spans="7:178" x14ac:dyDescent="0.4">
      <c r="G4136" s="36"/>
      <c r="FV4136" s="24"/>
    </row>
    <row r="4137" spans="7:178" x14ac:dyDescent="0.4">
      <c r="G4137" s="36"/>
      <c r="FV4137" s="24"/>
    </row>
    <row r="4138" spans="7:178" x14ac:dyDescent="0.4">
      <c r="G4138" s="36"/>
      <c r="FV4138" s="24"/>
    </row>
    <row r="4139" spans="7:178" x14ac:dyDescent="0.4">
      <c r="G4139" s="36"/>
      <c r="FV4139" s="24"/>
    </row>
    <row r="4140" spans="7:178" x14ac:dyDescent="0.4">
      <c r="G4140" s="36"/>
      <c r="FV4140" s="24"/>
    </row>
    <row r="4141" spans="7:178" x14ac:dyDescent="0.4">
      <c r="G4141" s="36"/>
      <c r="FV4141" s="24"/>
    </row>
    <row r="4142" spans="7:178" x14ac:dyDescent="0.4">
      <c r="G4142" s="36"/>
      <c r="FV4142" s="24"/>
    </row>
    <row r="4143" spans="7:178" x14ac:dyDescent="0.4">
      <c r="G4143" s="36"/>
      <c r="FV4143" s="24"/>
    </row>
    <row r="4144" spans="7:178" x14ac:dyDescent="0.4">
      <c r="G4144" s="36"/>
      <c r="FV4144" s="24"/>
    </row>
    <row r="4145" spans="7:178" x14ac:dyDescent="0.4">
      <c r="G4145" s="36"/>
      <c r="FV4145" s="24"/>
    </row>
    <row r="4146" spans="7:178" x14ac:dyDescent="0.4">
      <c r="G4146" s="36"/>
      <c r="FV4146" s="24"/>
    </row>
    <row r="4147" spans="7:178" x14ac:dyDescent="0.4">
      <c r="G4147" s="36"/>
      <c r="FV4147" s="24"/>
    </row>
    <row r="4148" spans="7:178" x14ac:dyDescent="0.4">
      <c r="G4148" s="36"/>
      <c r="FV4148" s="24"/>
    </row>
    <row r="4149" spans="7:178" x14ac:dyDescent="0.4">
      <c r="G4149" s="36"/>
      <c r="FV4149" s="24"/>
    </row>
    <row r="4150" spans="7:178" x14ac:dyDescent="0.4">
      <c r="G4150" s="36"/>
      <c r="FV4150" s="24"/>
    </row>
    <row r="4151" spans="7:178" x14ac:dyDescent="0.4">
      <c r="G4151" s="36"/>
      <c r="FV4151" s="24"/>
    </row>
    <row r="4152" spans="7:178" x14ac:dyDescent="0.4">
      <c r="G4152" s="36"/>
      <c r="FV4152" s="24"/>
    </row>
    <row r="4153" spans="7:178" x14ac:dyDescent="0.4">
      <c r="G4153" s="36"/>
      <c r="FV4153" s="24"/>
    </row>
    <row r="4154" spans="7:178" x14ac:dyDescent="0.4">
      <c r="G4154" s="36"/>
      <c r="FV4154" s="24"/>
    </row>
    <row r="4155" spans="7:178" x14ac:dyDescent="0.4">
      <c r="G4155" s="36"/>
      <c r="FV4155" s="24"/>
    </row>
    <row r="4156" spans="7:178" x14ac:dyDescent="0.4">
      <c r="G4156" s="36"/>
      <c r="FV4156" s="24"/>
    </row>
    <row r="4157" spans="7:178" x14ac:dyDescent="0.4">
      <c r="G4157" s="36"/>
      <c r="FV4157" s="24"/>
    </row>
    <row r="4158" spans="7:178" x14ac:dyDescent="0.4">
      <c r="G4158" s="36"/>
      <c r="FV4158" s="24"/>
    </row>
    <row r="4159" spans="7:178" x14ac:dyDescent="0.4">
      <c r="G4159" s="36"/>
      <c r="FV4159" s="24"/>
    </row>
    <row r="4160" spans="7:178" x14ac:dyDescent="0.4">
      <c r="G4160" s="36"/>
      <c r="FV4160" s="24"/>
    </row>
    <row r="4161" spans="7:178" x14ac:dyDescent="0.4">
      <c r="G4161" s="36"/>
      <c r="FV4161" s="24"/>
    </row>
    <row r="4162" spans="7:178" x14ac:dyDescent="0.4">
      <c r="G4162" s="36"/>
      <c r="FV4162" s="24"/>
    </row>
    <row r="4163" spans="7:178" x14ac:dyDescent="0.4">
      <c r="G4163" s="36"/>
      <c r="FV4163" s="24"/>
    </row>
    <row r="4164" spans="7:178" x14ac:dyDescent="0.4">
      <c r="G4164" s="36"/>
      <c r="FV4164" s="24"/>
    </row>
    <row r="4165" spans="7:178" x14ac:dyDescent="0.4">
      <c r="G4165" s="36"/>
      <c r="FV4165" s="24"/>
    </row>
    <row r="4166" spans="7:178" x14ac:dyDescent="0.4">
      <c r="G4166" s="36"/>
      <c r="FV4166" s="24"/>
    </row>
    <row r="4167" spans="7:178" x14ac:dyDescent="0.4">
      <c r="G4167" s="36"/>
      <c r="FV4167" s="24"/>
    </row>
    <row r="4168" spans="7:178" x14ac:dyDescent="0.4">
      <c r="G4168" s="36"/>
      <c r="FV4168" s="24"/>
    </row>
    <row r="4169" spans="7:178" x14ac:dyDescent="0.4">
      <c r="G4169" s="36"/>
      <c r="FV4169" s="24"/>
    </row>
    <row r="4170" spans="7:178" x14ac:dyDescent="0.4">
      <c r="G4170" s="36"/>
      <c r="FV4170" s="24"/>
    </row>
    <row r="4171" spans="7:178" x14ac:dyDescent="0.4">
      <c r="G4171" s="36"/>
      <c r="FV4171" s="24"/>
    </row>
    <row r="4172" spans="7:178" x14ac:dyDescent="0.4">
      <c r="G4172" s="36"/>
      <c r="FV4172" s="24"/>
    </row>
    <row r="4173" spans="7:178" x14ac:dyDescent="0.4">
      <c r="G4173" s="36"/>
      <c r="FV4173" s="24"/>
    </row>
    <row r="4174" spans="7:178" x14ac:dyDescent="0.4">
      <c r="G4174" s="36"/>
      <c r="FV4174" s="24"/>
    </row>
    <row r="4175" spans="7:178" x14ac:dyDescent="0.4">
      <c r="G4175" s="36"/>
      <c r="FV4175" s="24"/>
    </row>
    <row r="4176" spans="7:178" x14ac:dyDescent="0.4">
      <c r="G4176" s="36"/>
      <c r="FV4176" s="24"/>
    </row>
    <row r="4177" spans="7:178" x14ac:dyDescent="0.4">
      <c r="G4177" s="36"/>
      <c r="FV4177" s="24"/>
    </row>
    <row r="4178" spans="7:178" x14ac:dyDescent="0.4">
      <c r="G4178" s="36"/>
      <c r="FV4178" s="24"/>
    </row>
    <row r="4179" spans="7:178" x14ac:dyDescent="0.4">
      <c r="G4179" s="36"/>
      <c r="FV4179" s="24"/>
    </row>
    <row r="4180" spans="7:178" x14ac:dyDescent="0.4">
      <c r="G4180" s="36"/>
      <c r="FV4180" s="24"/>
    </row>
    <row r="4181" spans="7:178" x14ac:dyDescent="0.4">
      <c r="G4181" s="36"/>
      <c r="FV4181" s="24"/>
    </row>
    <row r="4182" spans="7:178" x14ac:dyDescent="0.4">
      <c r="G4182" s="36"/>
      <c r="FV4182" s="24"/>
    </row>
    <row r="4183" spans="7:178" x14ac:dyDescent="0.4">
      <c r="G4183" s="36"/>
      <c r="FV4183" s="24"/>
    </row>
    <row r="4184" spans="7:178" x14ac:dyDescent="0.4">
      <c r="G4184" s="36"/>
      <c r="FV4184" s="24"/>
    </row>
    <row r="4185" spans="7:178" x14ac:dyDescent="0.4">
      <c r="G4185" s="36"/>
      <c r="FV4185" s="24"/>
    </row>
    <row r="4186" spans="7:178" x14ac:dyDescent="0.4">
      <c r="G4186" s="36"/>
      <c r="FV4186" s="24"/>
    </row>
    <row r="4187" spans="7:178" x14ac:dyDescent="0.4">
      <c r="G4187" s="36"/>
      <c r="FV4187" s="24"/>
    </row>
    <row r="4188" spans="7:178" x14ac:dyDescent="0.4">
      <c r="G4188" s="36"/>
      <c r="FV4188" s="24"/>
    </row>
    <row r="4189" spans="7:178" x14ac:dyDescent="0.4">
      <c r="G4189" s="36"/>
      <c r="FV4189" s="24"/>
    </row>
    <row r="4190" spans="7:178" x14ac:dyDescent="0.4">
      <c r="G4190" s="36"/>
      <c r="FV4190" s="24"/>
    </row>
    <row r="4191" spans="7:178" x14ac:dyDescent="0.4">
      <c r="G4191" s="36"/>
      <c r="FV4191" s="24"/>
    </row>
    <row r="4192" spans="7:178" x14ac:dyDescent="0.4">
      <c r="G4192" s="36"/>
      <c r="FV4192" s="24"/>
    </row>
    <row r="4193" spans="7:178" x14ac:dyDescent="0.4">
      <c r="G4193" s="36"/>
      <c r="FV4193" s="24"/>
    </row>
    <row r="4194" spans="7:178" x14ac:dyDescent="0.4">
      <c r="G4194" s="36"/>
      <c r="FV4194" s="24"/>
    </row>
    <row r="4195" spans="7:178" x14ac:dyDescent="0.4">
      <c r="G4195" s="36"/>
      <c r="FV4195" s="24"/>
    </row>
    <row r="4196" spans="7:178" x14ac:dyDescent="0.4">
      <c r="G4196" s="36"/>
      <c r="FV4196" s="24"/>
    </row>
    <row r="4197" spans="7:178" x14ac:dyDescent="0.4">
      <c r="G4197" s="36"/>
      <c r="FV4197" s="24"/>
    </row>
    <row r="4198" spans="7:178" x14ac:dyDescent="0.4">
      <c r="G4198" s="36"/>
      <c r="FV4198" s="24"/>
    </row>
    <row r="4199" spans="7:178" x14ac:dyDescent="0.4">
      <c r="G4199" s="36"/>
      <c r="FV4199" s="24"/>
    </row>
    <row r="4200" spans="7:178" x14ac:dyDescent="0.4">
      <c r="G4200" s="36"/>
      <c r="FV4200" s="24"/>
    </row>
    <row r="4201" spans="7:178" x14ac:dyDescent="0.4">
      <c r="G4201" s="36"/>
      <c r="FV4201" s="24"/>
    </row>
    <row r="4202" spans="7:178" x14ac:dyDescent="0.4">
      <c r="G4202" s="36"/>
      <c r="FV4202" s="24"/>
    </row>
    <row r="4203" spans="7:178" x14ac:dyDescent="0.4">
      <c r="G4203" s="36"/>
      <c r="CM4203" s="31"/>
      <c r="FV4203" s="24"/>
    </row>
    <row r="4204" spans="7:178" x14ac:dyDescent="0.4">
      <c r="G4204" s="36"/>
      <c r="FV4204" s="24"/>
    </row>
    <row r="4205" spans="7:178" x14ac:dyDescent="0.4">
      <c r="G4205" s="36"/>
      <c r="FV4205" s="24"/>
    </row>
    <row r="4206" spans="7:178" x14ac:dyDescent="0.4">
      <c r="G4206" s="36"/>
      <c r="FV4206" s="24"/>
    </row>
    <row r="4207" spans="7:178" x14ac:dyDescent="0.4">
      <c r="G4207" s="36"/>
      <c r="FV4207" s="24"/>
    </row>
    <row r="4208" spans="7:178" x14ac:dyDescent="0.4">
      <c r="G4208" s="36"/>
      <c r="FV4208" s="24"/>
    </row>
    <row r="4209" spans="7:178" x14ac:dyDescent="0.4">
      <c r="G4209" s="36"/>
      <c r="FV4209" s="24"/>
    </row>
    <row r="4210" spans="7:178" x14ac:dyDescent="0.4">
      <c r="G4210" s="36"/>
      <c r="CM4210" s="31"/>
      <c r="FV4210" s="24"/>
    </row>
    <row r="4211" spans="7:178" x14ac:dyDescent="0.4">
      <c r="G4211" s="36"/>
      <c r="FV4211" s="24"/>
    </row>
    <row r="4212" spans="7:178" x14ac:dyDescent="0.4">
      <c r="G4212" s="36"/>
      <c r="FV4212" s="24"/>
    </row>
    <row r="4213" spans="7:178" x14ac:dyDescent="0.4">
      <c r="G4213" s="36"/>
      <c r="FV4213" s="24"/>
    </row>
    <row r="4214" spans="7:178" x14ac:dyDescent="0.4">
      <c r="G4214" s="36"/>
      <c r="FV4214" s="24"/>
    </row>
    <row r="4215" spans="7:178" x14ac:dyDescent="0.4">
      <c r="G4215" s="36"/>
      <c r="FV4215" s="24"/>
    </row>
    <row r="4216" spans="7:178" x14ac:dyDescent="0.4">
      <c r="G4216" s="36"/>
      <c r="FV4216" s="24"/>
    </row>
    <row r="4217" spans="7:178" x14ac:dyDescent="0.4">
      <c r="G4217" s="36"/>
      <c r="FV4217" s="24"/>
    </row>
    <row r="4218" spans="7:178" x14ac:dyDescent="0.4">
      <c r="G4218" s="36"/>
      <c r="FV4218" s="24"/>
    </row>
    <row r="4219" spans="7:178" x14ac:dyDescent="0.4">
      <c r="G4219" s="36"/>
      <c r="FV4219" s="24"/>
    </row>
    <row r="4220" spans="7:178" x14ac:dyDescent="0.4">
      <c r="G4220" s="36"/>
      <c r="FV4220" s="24"/>
    </row>
    <row r="4221" spans="7:178" x14ac:dyDescent="0.4">
      <c r="G4221" s="36"/>
      <c r="FV4221" s="24"/>
    </row>
    <row r="4222" spans="7:178" x14ac:dyDescent="0.4">
      <c r="G4222" s="36"/>
      <c r="FV4222" s="24"/>
    </row>
    <row r="4223" spans="7:178" x14ac:dyDescent="0.4">
      <c r="G4223" s="36"/>
      <c r="FV4223" s="24"/>
    </row>
    <row r="4224" spans="7:178" x14ac:dyDescent="0.4">
      <c r="G4224" s="36"/>
      <c r="FV4224" s="24"/>
    </row>
    <row r="4225" spans="7:178" x14ac:dyDescent="0.4">
      <c r="G4225" s="36"/>
      <c r="FV4225" s="24"/>
    </row>
    <row r="4226" spans="7:178" x14ac:dyDescent="0.4">
      <c r="G4226" s="36"/>
      <c r="FV4226" s="24"/>
    </row>
    <row r="4227" spans="7:178" x14ac:dyDescent="0.4">
      <c r="G4227" s="36"/>
      <c r="FV4227" s="24"/>
    </row>
    <row r="4228" spans="7:178" x14ac:dyDescent="0.4">
      <c r="G4228" s="36"/>
      <c r="FV4228" s="24"/>
    </row>
    <row r="4229" spans="7:178" x14ac:dyDescent="0.4">
      <c r="G4229" s="36"/>
      <c r="FV4229" s="24"/>
    </row>
    <row r="4230" spans="7:178" x14ac:dyDescent="0.4">
      <c r="G4230" s="36"/>
      <c r="FV4230" s="24"/>
    </row>
    <row r="4231" spans="7:178" x14ac:dyDescent="0.4">
      <c r="G4231" s="36"/>
      <c r="FV4231" s="24"/>
    </row>
    <row r="4232" spans="7:178" x14ac:dyDescent="0.4">
      <c r="G4232" s="36"/>
      <c r="FV4232" s="24"/>
    </row>
    <row r="4233" spans="7:178" x14ac:dyDescent="0.4">
      <c r="G4233" s="36"/>
      <c r="FV4233" s="24"/>
    </row>
    <row r="4234" spans="7:178" x14ac:dyDescent="0.4">
      <c r="G4234" s="36"/>
      <c r="FV4234" s="24"/>
    </row>
    <row r="4235" spans="7:178" x14ac:dyDescent="0.4">
      <c r="G4235" s="36"/>
      <c r="FV4235" s="24"/>
    </row>
    <row r="4236" spans="7:178" x14ac:dyDescent="0.4">
      <c r="G4236" s="36"/>
      <c r="FV4236" s="24"/>
    </row>
    <row r="4237" spans="7:178" x14ac:dyDescent="0.4">
      <c r="G4237" s="36"/>
      <c r="FV4237" s="24"/>
    </row>
    <row r="4238" spans="7:178" x14ac:dyDescent="0.4">
      <c r="G4238" s="36"/>
      <c r="FV4238" s="24"/>
    </row>
    <row r="4239" spans="7:178" x14ac:dyDescent="0.4">
      <c r="G4239" s="36"/>
      <c r="FV4239" s="24"/>
    </row>
    <row r="4240" spans="7:178" x14ac:dyDescent="0.4">
      <c r="G4240" s="36"/>
      <c r="FV4240" s="24"/>
    </row>
    <row r="4241" spans="7:178" x14ac:dyDescent="0.4">
      <c r="G4241" s="36"/>
      <c r="FV4241" s="24"/>
    </row>
    <row r="4242" spans="7:178" x14ac:dyDescent="0.4">
      <c r="G4242" s="36"/>
      <c r="FV4242" s="24"/>
    </row>
    <row r="4243" spans="7:178" x14ac:dyDescent="0.4">
      <c r="G4243" s="36"/>
      <c r="FV4243" s="24"/>
    </row>
    <row r="4244" spans="7:178" x14ac:dyDescent="0.4">
      <c r="G4244" s="36"/>
      <c r="FV4244" s="24"/>
    </row>
    <row r="4245" spans="7:178" x14ac:dyDescent="0.4">
      <c r="G4245" s="36"/>
      <c r="FV4245" s="24"/>
    </row>
    <row r="4246" spans="7:178" x14ac:dyDescent="0.4">
      <c r="G4246" s="36"/>
      <c r="FV4246" s="24"/>
    </row>
    <row r="4247" spans="7:178" x14ac:dyDescent="0.4">
      <c r="G4247" s="36"/>
      <c r="FV4247" s="24"/>
    </row>
    <row r="4248" spans="7:178" x14ac:dyDescent="0.4">
      <c r="G4248" s="36"/>
      <c r="FV4248" s="24"/>
    </row>
    <row r="4249" spans="7:178" x14ac:dyDescent="0.4">
      <c r="G4249" s="36"/>
      <c r="FV4249" s="24"/>
    </row>
    <row r="4250" spans="7:178" x14ac:dyDescent="0.4">
      <c r="G4250" s="36"/>
      <c r="FV4250" s="24"/>
    </row>
    <row r="4251" spans="7:178" x14ac:dyDescent="0.4">
      <c r="G4251" s="36"/>
      <c r="FV4251" s="24"/>
    </row>
    <row r="4252" spans="7:178" x14ac:dyDescent="0.4">
      <c r="G4252" s="36"/>
      <c r="FV4252" s="24"/>
    </row>
    <row r="4253" spans="7:178" x14ac:dyDescent="0.4">
      <c r="G4253" s="36"/>
      <c r="FV4253" s="24"/>
    </row>
    <row r="4254" spans="7:178" x14ac:dyDescent="0.4">
      <c r="G4254" s="36"/>
      <c r="FV4254" s="24"/>
    </row>
    <row r="4255" spans="7:178" x14ac:dyDescent="0.4">
      <c r="G4255" s="36"/>
      <c r="FV4255" s="24"/>
    </row>
    <row r="4256" spans="7:178" x14ac:dyDescent="0.4">
      <c r="G4256" s="36"/>
      <c r="FV4256" s="24"/>
    </row>
    <row r="4257" spans="7:178" x14ac:dyDescent="0.4">
      <c r="G4257" s="36"/>
      <c r="FV4257" s="24"/>
    </row>
    <row r="4258" spans="7:178" x14ac:dyDescent="0.4">
      <c r="G4258" s="36"/>
      <c r="FV4258" s="24"/>
    </row>
    <row r="4259" spans="7:178" x14ac:dyDescent="0.4">
      <c r="G4259" s="36"/>
      <c r="FV4259" s="24"/>
    </row>
    <row r="4260" spans="7:178" x14ac:dyDescent="0.4">
      <c r="G4260" s="36"/>
      <c r="FV4260" s="24"/>
    </row>
    <row r="4261" spans="7:178" x14ac:dyDescent="0.4">
      <c r="G4261" s="36"/>
      <c r="FV4261" s="24"/>
    </row>
    <row r="4262" spans="7:178" x14ac:dyDescent="0.4">
      <c r="G4262" s="36"/>
      <c r="FV4262" s="24"/>
    </row>
    <row r="4263" spans="7:178" x14ac:dyDescent="0.4">
      <c r="G4263" s="36"/>
      <c r="FV4263" s="24"/>
    </row>
    <row r="4264" spans="7:178" x14ac:dyDescent="0.4">
      <c r="G4264" s="36"/>
      <c r="FV4264" s="24"/>
    </row>
    <row r="4265" spans="7:178" x14ac:dyDescent="0.4">
      <c r="G4265" s="36"/>
      <c r="FV4265" s="24"/>
    </row>
    <row r="4266" spans="7:178" x14ac:dyDescent="0.4">
      <c r="G4266" s="36"/>
      <c r="FV4266" s="24"/>
    </row>
    <row r="4267" spans="7:178" x14ac:dyDescent="0.4">
      <c r="G4267" s="36"/>
      <c r="FV4267" s="24"/>
    </row>
    <row r="4268" spans="7:178" x14ac:dyDescent="0.4">
      <c r="G4268" s="36"/>
      <c r="FV4268" s="24"/>
    </row>
    <row r="4269" spans="7:178" x14ac:dyDescent="0.4">
      <c r="G4269" s="36"/>
      <c r="FV4269" s="24"/>
    </row>
    <row r="4270" spans="7:178" x14ac:dyDescent="0.4">
      <c r="G4270" s="36"/>
      <c r="FV4270" s="24"/>
    </row>
    <row r="4271" spans="7:178" x14ac:dyDescent="0.4">
      <c r="G4271" s="36"/>
      <c r="FV4271" s="24"/>
    </row>
    <row r="4272" spans="7:178" x14ac:dyDescent="0.4">
      <c r="G4272" s="36"/>
      <c r="FV4272" s="24"/>
    </row>
    <row r="4273" spans="7:178" x14ac:dyDescent="0.4">
      <c r="G4273" s="36"/>
      <c r="FV4273" s="24"/>
    </row>
    <row r="4274" spans="7:178" x14ac:dyDescent="0.4">
      <c r="G4274" s="36"/>
      <c r="FV4274" s="24"/>
    </row>
    <row r="4275" spans="7:178" x14ac:dyDescent="0.4">
      <c r="G4275" s="36"/>
      <c r="FV4275" s="24"/>
    </row>
    <row r="4276" spans="7:178" x14ac:dyDescent="0.4">
      <c r="G4276" s="36"/>
      <c r="FV4276" s="24"/>
    </row>
    <row r="4277" spans="7:178" x14ac:dyDescent="0.4">
      <c r="G4277" s="36"/>
      <c r="FV4277" s="24"/>
    </row>
    <row r="4278" spans="7:178" x14ac:dyDescent="0.4">
      <c r="G4278" s="36"/>
      <c r="FV4278" s="24"/>
    </row>
    <row r="4279" spans="7:178" x14ac:dyDescent="0.4">
      <c r="G4279" s="36"/>
      <c r="FV4279" s="24"/>
    </row>
    <row r="4280" spans="7:178" x14ac:dyDescent="0.4">
      <c r="G4280" s="36"/>
      <c r="FV4280" s="24"/>
    </row>
    <row r="4281" spans="7:178" x14ac:dyDescent="0.4">
      <c r="G4281" s="36"/>
      <c r="FV4281" s="24"/>
    </row>
    <row r="4282" spans="7:178" x14ac:dyDescent="0.4">
      <c r="G4282" s="36"/>
      <c r="FV4282" s="24"/>
    </row>
    <row r="4283" spans="7:178" x14ac:dyDescent="0.4">
      <c r="G4283" s="36"/>
      <c r="FV4283" s="24"/>
    </row>
    <row r="4284" spans="7:178" x14ac:dyDescent="0.4">
      <c r="G4284" s="36"/>
      <c r="FV4284" s="24"/>
    </row>
    <row r="4285" spans="7:178" x14ac:dyDescent="0.4">
      <c r="G4285" s="36"/>
      <c r="FV4285" s="24"/>
    </row>
    <row r="4286" spans="7:178" x14ac:dyDescent="0.4">
      <c r="G4286" s="36"/>
      <c r="FV4286" s="24"/>
    </row>
    <row r="4287" spans="7:178" x14ac:dyDescent="0.4">
      <c r="G4287" s="36"/>
      <c r="FV4287" s="24"/>
    </row>
    <row r="4288" spans="7:178" x14ac:dyDescent="0.4">
      <c r="G4288" s="36"/>
      <c r="FV4288" s="24"/>
    </row>
    <row r="4289" spans="7:178" x14ac:dyDescent="0.4">
      <c r="G4289" s="36"/>
      <c r="FV4289" s="24"/>
    </row>
    <row r="4290" spans="7:178" x14ac:dyDescent="0.4">
      <c r="G4290" s="36"/>
      <c r="FV4290" s="24"/>
    </row>
    <row r="4291" spans="7:178" x14ac:dyDescent="0.4">
      <c r="G4291" s="36"/>
      <c r="FV4291" s="24"/>
    </row>
    <row r="4292" spans="7:178" x14ac:dyDescent="0.4">
      <c r="G4292" s="36"/>
      <c r="FV4292" s="24"/>
    </row>
    <row r="4293" spans="7:178" x14ac:dyDescent="0.4">
      <c r="G4293" s="36"/>
      <c r="FV4293" s="24"/>
    </row>
    <row r="4294" spans="7:178" x14ac:dyDescent="0.4">
      <c r="G4294" s="36"/>
      <c r="FV4294" s="24"/>
    </row>
    <row r="4295" spans="7:178" x14ac:dyDescent="0.4">
      <c r="G4295" s="36"/>
      <c r="FV4295" s="24"/>
    </row>
    <row r="4296" spans="7:178" x14ac:dyDescent="0.4">
      <c r="G4296" s="36"/>
      <c r="FV4296" s="24"/>
    </row>
    <row r="4297" spans="7:178" x14ac:dyDescent="0.4">
      <c r="G4297" s="36"/>
      <c r="FV4297" s="24"/>
    </row>
    <row r="4298" spans="7:178" x14ac:dyDescent="0.4">
      <c r="G4298" s="36"/>
      <c r="FV4298" s="24"/>
    </row>
    <row r="4299" spans="7:178" x14ac:dyDescent="0.4">
      <c r="G4299" s="36"/>
      <c r="FV4299" s="24"/>
    </row>
    <row r="4300" spans="7:178" x14ac:dyDescent="0.4">
      <c r="G4300" s="36"/>
      <c r="FV4300" s="24"/>
    </row>
    <row r="4301" spans="7:178" x14ac:dyDescent="0.4">
      <c r="G4301" s="36"/>
      <c r="FV4301" s="24"/>
    </row>
    <row r="4302" spans="7:178" x14ac:dyDescent="0.4">
      <c r="G4302" s="36"/>
      <c r="FV4302" s="24"/>
    </row>
    <row r="4303" spans="7:178" x14ac:dyDescent="0.4">
      <c r="G4303" s="36"/>
      <c r="FV4303" s="24"/>
    </row>
    <row r="4304" spans="7:178" x14ac:dyDescent="0.4">
      <c r="G4304" s="36"/>
      <c r="FV4304" s="24"/>
    </row>
    <row r="4305" spans="7:178" x14ac:dyDescent="0.4">
      <c r="G4305" s="36"/>
      <c r="FV4305" s="24"/>
    </row>
    <row r="4306" spans="7:178" x14ac:dyDescent="0.4">
      <c r="G4306" s="36"/>
      <c r="FV4306" s="24"/>
    </row>
    <row r="4307" spans="7:178" x14ac:dyDescent="0.4">
      <c r="G4307" s="36"/>
      <c r="FV4307" s="24"/>
    </row>
    <row r="4308" spans="7:178" x14ac:dyDescent="0.4">
      <c r="G4308" s="36"/>
      <c r="FV4308" s="24"/>
    </row>
    <row r="4309" spans="7:178" x14ac:dyDescent="0.4">
      <c r="G4309" s="36"/>
      <c r="FV4309" s="24"/>
    </row>
    <row r="4310" spans="7:178" x14ac:dyDescent="0.4">
      <c r="G4310" s="36"/>
      <c r="FV4310" s="24"/>
    </row>
    <row r="4311" spans="7:178" x14ac:dyDescent="0.4">
      <c r="G4311" s="36"/>
      <c r="FV4311" s="24"/>
    </row>
    <row r="4312" spans="7:178" x14ac:dyDescent="0.4">
      <c r="G4312" s="36"/>
      <c r="FV4312" s="24"/>
    </row>
    <row r="4313" spans="7:178" x14ac:dyDescent="0.4">
      <c r="G4313" s="36"/>
      <c r="FV4313" s="24"/>
    </row>
    <row r="4314" spans="7:178" x14ac:dyDescent="0.4">
      <c r="G4314" s="36"/>
      <c r="FV4314" s="24"/>
    </row>
    <row r="4315" spans="7:178" x14ac:dyDescent="0.4">
      <c r="G4315" s="36"/>
      <c r="FV4315" s="24"/>
    </row>
    <row r="4316" spans="7:178" x14ac:dyDescent="0.4">
      <c r="G4316" s="36"/>
      <c r="FV4316" s="24"/>
    </row>
    <row r="4317" spans="7:178" x14ac:dyDescent="0.4">
      <c r="G4317" s="36"/>
      <c r="FV4317" s="24"/>
    </row>
    <row r="4318" spans="7:178" x14ac:dyDescent="0.4">
      <c r="G4318" s="36"/>
      <c r="FV4318" s="24"/>
    </row>
    <row r="4319" spans="7:178" x14ac:dyDescent="0.4">
      <c r="G4319" s="36"/>
      <c r="FV4319" s="24"/>
    </row>
    <row r="4320" spans="7:178" x14ac:dyDescent="0.4">
      <c r="G4320" s="36"/>
      <c r="FV4320" s="24"/>
    </row>
    <row r="4321" spans="7:178" x14ac:dyDescent="0.4">
      <c r="G4321" s="36"/>
      <c r="FV4321" s="24"/>
    </row>
    <row r="4322" spans="7:178" x14ac:dyDescent="0.4">
      <c r="G4322" s="36"/>
      <c r="FV4322" s="24"/>
    </row>
    <row r="4323" spans="7:178" x14ac:dyDescent="0.4">
      <c r="G4323" s="36"/>
      <c r="FV4323" s="24"/>
    </row>
    <row r="4324" spans="7:178" x14ac:dyDescent="0.4">
      <c r="G4324" s="36"/>
      <c r="FV4324" s="24"/>
    </row>
    <row r="4325" spans="7:178" x14ac:dyDescent="0.4">
      <c r="G4325" s="36"/>
      <c r="FV4325" s="24"/>
    </row>
    <row r="4326" spans="7:178" x14ac:dyDescent="0.4">
      <c r="G4326" s="36"/>
      <c r="FV4326" s="24"/>
    </row>
    <row r="4327" spans="7:178" x14ac:dyDescent="0.4">
      <c r="G4327" s="36"/>
      <c r="FV4327" s="24"/>
    </row>
    <row r="4328" spans="7:178" x14ac:dyDescent="0.4">
      <c r="G4328" s="36"/>
      <c r="FV4328" s="24"/>
    </row>
    <row r="4329" spans="7:178" x14ac:dyDescent="0.4">
      <c r="G4329" s="36"/>
      <c r="FV4329" s="24"/>
    </row>
    <row r="4330" spans="7:178" x14ac:dyDescent="0.4">
      <c r="G4330" s="36"/>
      <c r="FV4330" s="24"/>
    </row>
    <row r="4331" spans="7:178" x14ac:dyDescent="0.4">
      <c r="G4331" s="36"/>
      <c r="FV4331" s="24"/>
    </row>
    <row r="4332" spans="7:178" x14ac:dyDescent="0.4">
      <c r="G4332" s="36"/>
      <c r="FV4332" s="24"/>
    </row>
    <row r="4333" spans="7:178" x14ac:dyDescent="0.4">
      <c r="G4333" s="36"/>
      <c r="FV4333" s="24"/>
    </row>
    <row r="4334" spans="7:178" x14ac:dyDescent="0.4">
      <c r="G4334" s="36"/>
      <c r="FV4334" s="24"/>
    </row>
    <row r="4335" spans="7:178" x14ac:dyDescent="0.4">
      <c r="G4335" s="36"/>
      <c r="FV4335" s="24"/>
    </row>
    <row r="4336" spans="7:178" x14ac:dyDescent="0.4">
      <c r="G4336" s="36"/>
      <c r="FV4336" s="24"/>
    </row>
    <row r="4337" spans="7:178" x14ac:dyDescent="0.4">
      <c r="G4337" s="36"/>
      <c r="FV4337" s="24"/>
    </row>
    <row r="4338" spans="7:178" x14ac:dyDescent="0.4">
      <c r="G4338" s="36"/>
      <c r="FV4338" s="24"/>
    </row>
    <row r="4339" spans="7:178" x14ac:dyDescent="0.4">
      <c r="G4339" s="36"/>
      <c r="FV4339" s="24"/>
    </row>
    <row r="4340" spans="7:178" x14ac:dyDescent="0.4">
      <c r="G4340" s="36"/>
      <c r="FV4340" s="24"/>
    </row>
    <row r="4341" spans="7:178" x14ac:dyDescent="0.4">
      <c r="G4341" s="36"/>
      <c r="FV4341" s="24"/>
    </row>
    <row r="4342" spans="7:178" x14ac:dyDescent="0.4">
      <c r="G4342" s="36"/>
      <c r="FV4342" s="24"/>
    </row>
    <row r="4343" spans="7:178" x14ac:dyDescent="0.4">
      <c r="G4343" s="36"/>
      <c r="FV4343" s="24"/>
    </row>
    <row r="4344" spans="7:178" x14ac:dyDescent="0.4">
      <c r="G4344" s="36"/>
      <c r="FV4344" s="24"/>
    </row>
    <row r="4345" spans="7:178" x14ac:dyDescent="0.4">
      <c r="G4345" s="36"/>
      <c r="FV4345" s="24"/>
    </row>
    <row r="4346" spans="7:178" x14ac:dyDescent="0.4">
      <c r="G4346" s="36"/>
      <c r="FV4346" s="24"/>
    </row>
    <row r="4347" spans="7:178" x14ac:dyDescent="0.4">
      <c r="G4347" s="36"/>
      <c r="FV4347" s="24"/>
    </row>
    <row r="4348" spans="7:178" x14ac:dyDescent="0.4">
      <c r="G4348" s="36"/>
      <c r="FV4348" s="24"/>
    </row>
    <row r="4349" spans="7:178" x14ac:dyDescent="0.4">
      <c r="G4349" s="36"/>
      <c r="FV4349" s="24"/>
    </row>
    <row r="4350" spans="7:178" x14ac:dyDescent="0.4">
      <c r="G4350" s="36"/>
      <c r="FV4350" s="24"/>
    </row>
    <row r="4351" spans="7:178" x14ac:dyDescent="0.4">
      <c r="G4351" s="36"/>
      <c r="FV4351" s="24"/>
    </row>
    <row r="4352" spans="7:178" x14ac:dyDescent="0.4">
      <c r="G4352" s="36"/>
      <c r="FV4352" s="24"/>
    </row>
    <row r="4353" spans="7:178" x14ac:dyDescent="0.4">
      <c r="G4353" s="36"/>
      <c r="FV4353" s="24"/>
    </row>
    <row r="4354" spans="7:178" x14ac:dyDescent="0.4">
      <c r="G4354" s="36"/>
      <c r="FV4354" s="24"/>
    </row>
    <row r="4355" spans="7:178" x14ac:dyDescent="0.4">
      <c r="G4355" s="36"/>
      <c r="FV4355" s="24"/>
    </row>
    <row r="4356" spans="7:178" x14ac:dyDescent="0.4">
      <c r="G4356" s="36"/>
      <c r="FV4356" s="24"/>
    </row>
    <row r="4357" spans="7:178" x14ac:dyDescent="0.4">
      <c r="G4357" s="36"/>
      <c r="FV4357" s="24"/>
    </row>
    <row r="4358" spans="7:178" x14ac:dyDescent="0.4">
      <c r="G4358" s="36"/>
      <c r="FV4358" s="24"/>
    </row>
    <row r="4359" spans="7:178" x14ac:dyDescent="0.4">
      <c r="G4359" s="36"/>
      <c r="FV4359" s="24"/>
    </row>
    <row r="4360" spans="7:178" x14ac:dyDescent="0.4">
      <c r="G4360" s="36"/>
      <c r="FV4360" s="24"/>
    </row>
    <row r="4361" spans="7:178" x14ac:dyDescent="0.4">
      <c r="G4361" s="36"/>
      <c r="FV4361" s="24"/>
    </row>
    <row r="4362" spans="7:178" x14ac:dyDescent="0.4">
      <c r="G4362" s="36"/>
      <c r="FV4362" s="24"/>
    </row>
    <row r="4363" spans="7:178" x14ac:dyDescent="0.4">
      <c r="G4363" s="36"/>
      <c r="FV4363" s="24"/>
    </row>
    <row r="4364" spans="7:178" x14ac:dyDescent="0.4">
      <c r="G4364" s="36"/>
      <c r="FV4364" s="24"/>
    </row>
    <row r="4365" spans="7:178" x14ac:dyDescent="0.4">
      <c r="G4365" s="36"/>
      <c r="FV4365" s="24"/>
    </row>
    <row r="4366" spans="7:178" x14ac:dyDescent="0.4">
      <c r="G4366" s="36"/>
      <c r="FV4366" s="24"/>
    </row>
    <row r="4367" spans="7:178" x14ac:dyDescent="0.4">
      <c r="G4367" s="36"/>
      <c r="FV4367" s="24"/>
    </row>
    <row r="4368" spans="7:178" x14ac:dyDescent="0.4">
      <c r="G4368" s="36"/>
      <c r="FV4368" s="24"/>
    </row>
    <row r="4369" spans="7:178" x14ac:dyDescent="0.4">
      <c r="G4369" s="36"/>
      <c r="FV4369" s="24"/>
    </row>
    <row r="4370" spans="7:178" x14ac:dyDescent="0.4">
      <c r="G4370" s="36"/>
      <c r="FV4370" s="24"/>
    </row>
    <row r="4371" spans="7:178" x14ac:dyDescent="0.4">
      <c r="G4371" s="36"/>
      <c r="FV4371" s="24"/>
    </row>
    <row r="4372" spans="7:178" x14ac:dyDescent="0.4">
      <c r="G4372" s="36"/>
      <c r="FV4372" s="24"/>
    </row>
    <row r="4373" spans="7:178" x14ac:dyDescent="0.4">
      <c r="G4373" s="36"/>
      <c r="FV4373" s="24"/>
    </row>
    <row r="4374" spans="7:178" x14ac:dyDescent="0.4">
      <c r="G4374" s="36"/>
      <c r="FV4374" s="24"/>
    </row>
    <row r="4375" spans="7:178" x14ac:dyDescent="0.4">
      <c r="G4375" s="36"/>
      <c r="FV4375" s="24"/>
    </row>
    <row r="4376" spans="7:178" x14ac:dyDescent="0.4">
      <c r="G4376" s="36"/>
      <c r="FV4376" s="24"/>
    </row>
    <row r="4377" spans="7:178" x14ac:dyDescent="0.4">
      <c r="G4377" s="36"/>
      <c r="FV4377" s="24"/>
    </row>
    <row r="4378" spans="7:178" x14ac:dyDescent="0.4">
      <c r="G4378" s="36"/>
      <c r="FV4378" s="24"/>
    </row>
    <row r="4379" spans="7:178" x14ac:dyDescent="0.4">
      <c r="G4379" s="36"/>
      <c r="FV4379" s="24"/>
    </row>
    <row r="4380" spans="7:178" x14ac:dyDescent="0.4">
      <c r="G4380" s="36"/>
      <c r="FV4380" s="24"/>
    </row>
    <row r="4381" spans="7:178" x14ac:dyDescent="0.4">
      <c r="G4381" s="36"/>
      <c r="FV4381" s="24"/>
    </row>
    <row r="4382" spans="7:178" x14ac:dyDescent="0.4">
      <c r="G4382" s="36"/>
      <c r="FV4382" s="24"/>
    </row>
    <row r="4383" spans="7:178" x14ac:dyDescent="0.4">
      <c r="G4383" s="36"/>
      <c r="FV4383" s="24"/>
    </row>
    <row r="4384" spans="7:178" x14ac:dyDescent="0.4">
      <c r="G4384" s="36"/>
      <c r="FV4384" s="24"/>
    </row>
    <row r="4385" spans="7:178" x14ac:dyDescent="0.4">
      <c r="G4385" s="36"/>
      <c r="FV4385" s="24"/>
    </row>
    <row r="4386" spans="7:178" x14ac:dyDescent="0.4">
      <c r="G4386" s="36"/>
      <c r="FV4386" s="24"/>
    </row>
    <row r="4387" spans="7:178" x14ac:dyDescent="0.4">
      <c r="G4387" s="36"/>
      <c r="FV4387" s="24"/>
    </row>
    <row r="4388" spans="7:178" x14ac:dyDescent="0.4">
      <c r="G4388" s="36"/>
      <c r="FV4388" s="24"/>
    </row>
    <row r="4389" spans="7:178" x14ac:dyDescent="0.4">
      <c r="G4389" s="36"/>
      <c r="FV4389" s="24"/>
    </row>
    <row r="4390" spans="7:178" x14ac:dyDescent="0.4">
      <c r="G4390" s="36"/>
      <c r="FV4390" s="24"/>
    </row>
    <row r="4391" spans="7:178" x14ac:dyDescent="0.4">
      <c r="G4391" s="36"/>
      <c r="FV4391" s="24"/>
    </row>
    <row r="4392" spans="7:178" x14ac:dyDescent="0.4">
      <c r="G4392" s="36"/>
      <c r="FV4392" s="24"/>
    </row>
    <row r="4393" spans="7:178" x14ac:dyDescent="0.4">
      <c r="G4393" s="36"/>
      <c r="FV4393" s="24"/>
    </row>
    <row r="4394" spans="7:178" x14ac:dyDescent="0.4">
      <c r="G4394" s="36"/>
      <c r="FV4394" s="24"/>
    </row>
    <row r="4395" spans="7:178" x14ac:dyDescent="0.4">
      <c r="G4395" s="36"/>
      <c r="FV4395" s="24"/>
    </row>
    <row r="4396" spans="7:178" x14ac:dyDescent="0.4">
      <c r="G4396" s="36"/>
      <c r="FV4396" s="24"/>
    </row>
    <row r="4397" spans="7:178" x14ac:dyDescent="0.4">
      <c r="G4397" s="36"/>
      <c r="FV4397" s="24"/>
    </row>
    <row r="4398" spans="7:178" x14ac:dyDescent="0.4">
      <c r="G4398" s="36"/>
      <c r="FV4398" s="24"/>
    </row>
    <row r="4399" spans="7:178" x14ac:dyDescent="0.4">
      <c r="G4399" s="36"/>
      <c r="FV4399" s="24"/>
    </row>
    <row r="4400" spans="7:178" x14ac:dyDescent="0.4">
      <c r="G4400" s="36"/>
      <c r="FV4400" s="24"/>
    </row>
    <row r="4401" spans="7:178" x14ac:dyDescent="0.4">
      <c r="G4401" s="36"/>
      <c r="FV4401" s="24"/>
    </row>
    <row r="4402" spans="7:178" x14ac:dyDescent="0.4">
      <c r="G4402" s="36"/>
      <c r="FV4402" s="24"/>
    </row>
    <row r="4403" spans="7:178" x14ac:dyDescent="0.4">
      <c r="G4403" s="36"/>
      <c r="FV4403" s="24"/>
    </row>
    <row r="4404" spans="7:178" x14ac:dyDescent="0.4">
      <c r="G4404" s="36"/>
      <c r="FV4404" s="24"/>
    </row>
    <row r="4405" spans="7:178" x14ac:dyDescent="0.4">
      <c r="G4405" s="36"/>
      <c r="FV4405" s="24"/>
    </row>
    <row r="4406" spans="7:178" x14ac:dyDescent="0.4">
      <c r="G4406" s="36"/>
      <c r="FV4406" s="24"/>
    </row>
    <row r="4407" spans="7:178" x14ac:dyDescent="0.4">
      <c r="G4407" s="36"/>
      <c r="FV4407" s="24"/>
    </row>
    <row r="4408" spans="7:178" x14ac:dyDescent="0.4">
      <c r="G4408" s="36"/>
      <c r="FV4408" s="24"/>
    </row>
    <row r="4409" spans="7:178" x14ac:dyDescent="0.4">
      <c r="G4409" s="36"/>
      <c r="FV4409" s="24"/>
    </row>
    <row r="4410" spans="7:178" x14ac:dyDescent="0.4">
      <c r="G4410" s="36"/>
      <c r="FV4410" s="24"/>
    </row>
    <row r="4411" spans="7:178" x14ac:dyDescent="0.4">
      <c r="G4411" s="36"/>
      <c r="FV4411" s="24"/>
    </row>
    <row r="4412" spans="7:178" x14ac:dyDescent="0.4">
      <c r="G4412" s="36"/>
      <c r="FV4412" s="24"/>
    </row>
    <row r="4413" spans="7:178" x14ac:dyDescent="0.4">
      <c r="G4413" s="36"/>
      <c r="FV4413" s="24"/>
    </row>
    <row r="4414" spans="7:178" x14ac:dyDescent="0.4">
      <c r="G4414" s="36"/>
      <c r="FV4414" s="24"/>
    </row>
    <row r="4415" spans="7:178" x14ac:dyDescent="0.4">
      <c r="G4415" s="36"/>
      <c r="FV4415" s="24"/>
    </row>
    <row r="4416" spans="7:178" x14ac:dyDescent="0.4">
      <c r="G4416" s="36"/>
      <c r="FV4416" s="24"/>
    </row>
    <row r="4417" spans="7:178" x14ac:dyDescent="0.4">
      <c r="G4417" s="36"/>
      <c r="FV4417" s="24"/>
    </row>
    <row r="4418" spans="7:178" x14ac:dyDescent="0.4">
      <c r="G4418" s="36"/>
      <c r="FV4418" s="24"/>
    </row>
    <row r="4419" spans="7:178" x14ac:dyDescent="0.4">
      <c r="G4419" s="36"/>
      <c r="FV4419" s="24"/>
    </row>
    <row r="4420" spans="7:178" x14ac:dyDescent="0.4">
      <c r="G4420" s="36"/>
      <c r="FV4420" s="24"/>
    </row>
    <row r="4421" spans="7:178" x14ac:dyDescent="0.4">
      <c r="G4421" s="36"/>
      <c r="FV4421" s="24"/>
    </row>
    <row r="4422" spans="7:178" x14ac:dyDescent="0.4">
      <c r="G4422" s="36"/>
      <c r="FV4422" s="24"/>
    </row>
    <row r="4423" spans="7:178" x14ac:dyDescent="0.4">
      <c r="G4423" s="36"/>
      <c r="FV4423" s="24"/>
    </row>
    <row r="4424" spans="7:178" x14ac:dyDescent="0.4">
      <c r="G4424" s="36"/>
      <c r="FV4424" s="24"/>
    </row>
    <row r="4425" spans="7:178" x14ac:dyDescent="0.4">
      <c r="G4425" s="36"/>
      <c r="FV4425" s="24"/>
    </row>
    <row r="4426" spans="7:178" x14ac:dyDescent="0.4">
      <c r="G4426" s="36"/>
      <c r="FV4426" s="24"/>
    </row>
    <row r="4427" spans="7:178" x14ac:dyDescent="0.4">
      <c r="G4427" s="36"/>
      <c r="FV4427" s="24"/>
    </row>
    <row r="4428" spans="7:178" x14ac:dyDescent="0.4">
      <c r="G4428" s="36"/>
      <c r="FV4428" s="24"/>
    </row>
    <row r="4429" spans="7:178" x14ac:dyDescent="0.4">
      <c r="G4429" s="36"/>
      <c r="FV4429" s="24"/>
    </row>
    <row r="4430" spans="7:178" x14ac:dyDescent="0.4">
      <c r="G4430" s="36"/>
      <c r="FV4430" s="24"/>
    </row>
    <row r="4431" spans="7:178" x14ac:dyDescent="0.4">
      <c r="G4431" s="36"/>
      <c r="FV4431" s="24"/>
    </row>
    <row r="4432" spans="7:178" x14ac:dyDescent="0.4">
      <c r="G4432" s="36"/>
      <c r="FV4432" s="24"/>
    </row>
    <row r="4433" spans="7:178" x14ac:dyDescent="0.4">
      <c r="G4433" s="36"/>
      <c r="FV4433" s="24"/>
    </row>
    <row r="4434" spans="7:178" x14ac:dyDescent="0.4">
      <c r="G4434" s="36"/>
      <c r="FV4434" s="24"/>
    </row>
    <row r="4435" spans="7:178" x14ac:dyDescent="0.4">
      <c r="G4435" s="36"/>
      <c r="FV4435" s="24"/>
    </row>
    <row r="4436" spans="7:178" x14ac:dyDescent="0.4">
      <c r="G4436" s="36"/>
      <c r="FV4436" s="24"/>
    </row>
    <row r="4437" spans="7:178" x14ac:dyDescent="0.4">
      <c r="G4437" s="36"/>
      <c r="FV4437" s="24"/>
    </row>
    <row r="4438" spans="7:178" x14ac:dyDescent="0.4">
      <c r="G4438" s="36"/>
      <c r="FV4438" s="24"/>
    </row>
    <row r="4439" spans="7:178" x14ac:dyDescent="0.4">
      <c r="G4439" s="36"/>
      <c r="FV4439" s="24"/>
    </row>
    <row r="4440" spans="7:178" x14ac:dyDescent="0.4">
      <c r="G4440" s="36"/>
      <c r="FV4440" s="24"/>
    </row>
    <row r="4441" spans="7:178" x14ac:dyDescent="0.4">
      <c r="G4441" s="36"/>
      <c r="FV4441" s="24"/>
    </row>
    <row r="4442" spans="7:178" x14ac:dyDescent="0.4">
      <c r="G4442" s="36"/>
      <c r="FV4442" s="24"/>
    </row>
    <row r="4443" spans="7:178" x14ac:dyDescent="0.4">
      <c r="G4443" s="36"/>
      <c r="FV4443" s="24"/>
    </row>
    <row r="4444" spans="7:178" x14ac:dyDescent="0.4">
      <c r="G4444" s="36"/>
      <c r="FV4444" s="24"/>
    </row>
    <row r="4445" spans="7:178" x14ac:dyDescent="0.4">
      <c r="G4445" s="36"/>
      <c r="FV4445" s="24"/>
    </row>
    <row r="4446" spans="7:178" x14ac:dyDescent="0.4">
      <c r="G4446" s="36"/>
      <c r="FV4446" s="24"/>
    </row>
    <row r="4447" spans="7:178" x14ac:dyDescent="0.4">
      <c r="G4447" s="36"/>
      <c r="FV4447" s="24"/>
    </row>
    <row r="4448" spans="7:178" x14ac:dyDescent="0.4">
      <c r="G4448" s="36"/>
      <c r="FV4448" s="24"/>
    </row>
    <row r="4449" spans="7:178" x14ac:dyDescent="0.4">
      <c r="G4449" s="36"/>
      <c r="FV4449" s="24"/>
    </row>
    <row r="4450" spans="7:178" x14ac:dyDescent="0.4">
      <c r="G4450" s="36"/>
      <c r="FV4450" s="24"/>
    </row>
    <row r="4451" spans="7:178" x14ac:dyDescent="0.4">
      <c r="G4451" s="36"/>
      <c r="FV4451" s="24"/>
    </row>
    <row r="4452" spans="7:178" x14ac:dyDescent="0.4">
      <c r="G4452" s="36"/>
      <c r="FV4452" s="24"/>
    </row>
    <row r="4453" spans="7:178" x14ac:dyDescent="0.4">
      <c r="G4453" s="36"/>
      <c r="FV4453" s="24"/>
    </row>
    <row r="4454" spans="7:178" x14ac:dyDescent="0.4">
      <c r="G4454" s="36"/>
      <c r="FV4454" s="24"/>
    </row>
    <row r="4455" spans="7:178" x14ac:dyDescent="0.4">
      <c r="G4455" s="36"/>
      <c r="FV4455" s="24"/>
    </row>
    <row r="4456" spans="7:178" x14ac:dyDescent="0.4">
      <c r="G4456" s="36"/>
      <c r="FV4456" s="24"/>
    </row>
    <row r="4457" spans="7:178" x14ac:dyDescent="0.4">
      <c r="G4457" s="36"/>
      <c r="FV4457" s="24"/>
    </row>
    <row r="4458" spans="7:178" x14ac:dyDescent="0.4">
      <c r="G4458" s="36"/>
      <c r="FV4458" s="24"/>
    </row>
    <row r="4459" spans="7:178" x14ac:dyDescent="0.4">
      <c r="G4459" s="36"/>
      <c r="FV4459" s="24"/>
    </row>
    <row r="4460" spans="7:178" x14ac:dyDescent="0.4">
      <c r="G4460" s="36"/>
      <c r="FV4460" s="24"/>
    </row>
    <row r="4461" spans="7:178" x14ac:dyDescent="0.4">
      <c r="G4461" s="36"/>
      <c r="FV4461" s="24"/>
    </row>
    <row r="4462" spans="7:178" x14ac:dyDescent="0.4">
      <c r="G4462" s="36"/>
      <c r="FV4462" s="24"/>
    </row>
    <row r="4463" spans="7:178" x14ac:dyDescent="0.4">
      <c r="G4463" s="36"/>
      <c r="FV4463" s="24"/>
    </row>
    <row r="4464" spans="7:178" x14ac:dyDescent="0.4">
      <c r="G4464" s="36"/>
      <c r="FV4464" s="24"/>
    </row>
    <row r="4465" spans="7:178" x14ac:dyDescent="0.4">
      <c r="G4465" s="36"/>
      <c r="FV4465" s="24"/>
    </row>
    <row r="4466" spans="7:178" x14ac:dyDescent="0.4">
      <c r="G4466" s="36"/>
      <c r="FV4466" s="24"/>
    </row>
    <row r="4467" spans="7:178" x14ac:dyDescent="0.4">
      <c r="G4467" s="36"/>
      <c r="FV4467" s="24"/>
    </row>
    <row r="4468" spans="7:178" x14ac:dyDescent="0.4">
      <c r="G4468" s="36"/>
      <c r="FV4468" s="24"/>
    </row>
    <row r="4469" spans="7:178" x14ac:dyDescent="0.4">
      <c r="G4469" s="36"/>
      <c r="FV4469" s="24"/>
    </row>
    <row r="4470" spans="7:178" x14ac:dyDescent="0.4">
      <c r="G4470" s="36"/>
      <c r="FV4470" s="24"/>
    </row>
    <row r="4471" spans="7:178" x14ac:dyDescent="0.4">
      <c r="G4471" s="36"/>
      <c r="FV4471" s="24"/>
    </row>
    <row r="4472" spans="7:178" x14ac:dyDescent="0.4">
      <c r="G4472" s="36"/>
      <c r="FV4472" s="24"/>
    </row>
    <row r="4473" spans="7:178" x14ac:dyDescent="0.4">
      <c r="G4473" s="36"/>
      <c r="FV4473" s="24"/>
    </row>
    <row r="4474" spans="7:178" x14ac:dyDescent="0.4">
      <c r="G4474" s="36"/>
      <c r="FV4474" s="24"/>
    </row>
    <row r="4475" spans="7:178" x14ac:dyDescent="0.4">
      <c r="G4475" s="36"/>
      <c r="FV4475" s="24"/>
    </row>
    <row r="4476" spans="7:178" x14ac:dyDescent="0.4">
      <c r="G4476" s="36"/>
      <c r="FV4476" s="24"/>
    </row>
    <row r="4477" spans="7:178" x14ac:dyDescent="0.4">
      <c r="G4477" s="36"/>
      <c r="FV4477" s="24"/>
    </row>
    <row r="4478" spans="7:178" x14ac:dyDescent="0.4">
      <c r="G4478" s="36"/>
      <c r="FV4478" s="24"/>
    </row>
    <row r="4479" spans="7:178" x14ac:dyDescent="0.4">
      <c r="G4479" s="36"/>
      <c r="FV4479" s="24"/>
    </row>
    <row r="4480" spans="7:178" x14ac:dyDescent="0.4">
      <c r="G4480" s="36"/>
      <c r="FV4480" s="24"/>
    </row>
    <row r="4481" spans="7:178" x14ac:dyDescent="0.4">
      <c r="G4481" s="36"/>
      <c r="FV4481" s="24"/>
    </row>
    <row r="4482" spans="7:178" x14ac:dyDescent="0.4">
      <c r="G4482" s="36"/>
      <c r="FV4482" s="24"/>
    </row>
    <row r="4483" spans="7:178" x14ac:dyDescent="0.4">
      <c r="G4483" s="36"/>
      <c r="FV4483" s="24"/>
    </row>
    <row r="4484" spans="7:178" x14ac:dyDescent="0.4">
      <c r="G4484" s="36"/>
      <c r="FV4484" s="24"/>
    </row>
    <row r="4485" spans="7:178" x14ac:dyDescent="0.4">
      <c r="G4485" s="36"/>
      <c r="FV4485" s="24"/>
    </row>
    <row r="4486" spans="7:178" x14ac:dyDescent="0.4">
      <c r="G4486" s="36"/>
      <c r="FV4486" s="24"/>
    </row>
    <row r="4487" spans="7:178" x14ac:dyDescent="0.4">
      <c r="G4487" s="36"/>
      <c r="FV4487" s="24"/>
    </row>
    <row r="4488" spans="7:178" x14ac:dyDescent="0.4">
      <c r="G4488" s="36"/>
      <c r="FV4488" s="24"/>
    </row>
    <row r="4489" spans="7:178" x14ac:dyDescent="0.4">
      <c r="G4489" s="36"/>
      <c r="FV4489" s="24"/>
    </row>
    <row r="4490" spans="7:178" x14ac:dyDescent="0.4">
      <c r="G4490" s="36"/>
      <c r="FV4490" s="24"/>
    </row>
    <row r="4491" spans="7:178" x14ac:dyDescent="0.4">
      <c r="G4491" s="36"/>
      <c r="FV4491" s="24"/>
    </row>
    <row r="4492" spans="7:178" x14ac:dyDescent="0.4">
      <c r="G4492" s="36"/>
      <c r="FV4492" s="24"/>
    </row>
    <row r="4493" spans="7:178" x14ac:dyDescent="0.4">
      <c r="G4493" s="36"/>
      <c r="FV4493" s="24"/>
    </row>
    <row r="4494" spans="7:178" x14ac:dyDescent="0.4">
      <c r="G4494" s="36"/>
      <c r="FV4494" s="24"/>
    </row>
    <row r="4495" spans="7:178" x14ac:dyDescent="0.4">
      <c r="G4495" s="36"/>
      <c r="FV4495" s="24"/>
    </row>
    <row r="4496" spans="7:178" x14ac:dyDescent="0.4">
      <c r="G4496" s="36"/>
      <c r="FV4496" s="24"/>
    </row>
    <row r="4497" spans="7:178" x14ac:dyDescent="0.4">
      <c r="G4497" s="36"/>
      <c r="FV4497" s="24"/>
    </row>
    <row r="4498" spans="7:178" x14ac:dyDescent="0.4">
      <c r="G4498" s="36"/>
      <c r="FV4498" s="24"/>
    </row>
    <row r="4499" spans="7:178" x14ac:dyDescent="0.4">
      <c r="G4499" s="36"/>
      <c r="FV4499" s="24"/>
    </row>
    <row r="4500" spans="7:178" x14ac:dyDescent="0.4">
      <c r="G4500" s="36"/>
      <c r="FV4500" s="24"/>
    </row>
    <row r="4501" spans="7:178" x14ac:dyDescent="0.4">
      <c r="G4501" s="36"/>
      <c r="FV4501" s="24"/>
    </row>
    <row r="4502" spans="7:178" x14ac:dyDescent="0.4">
      <c r="G4502" s="36"/>
      <c r="FV4502" s="24"/>
    </row>
    <row r="4503" spans="7:178" x14ac:dyDescent="0.4">
      <c r="G4503" s="36"/>
      <c r="FV4503" s="24"/>
    </row>
    <row r="4504" spans="7:178" x14ac:dyDescent="0.4">
      <c r="G4504" s="36"/>
      <c r="FV4504" s="24"/>
    </row>
    <row r="4505" spans="7:178" x14ac:dyDescent="0.4">
      <c r="G4505" s="36"/>
      <c r="FV4505" s="24"/>
    </row>
    <row r="4506" spans="7:178" x14ac:dyDescent="0.4">
      <c r="G4506" s="36"/>
      <c r="FV4506" s="24"/>
    </row>
    <row r="4507" spans="7:178" x14ac:dyDescent="0.4">
      <c r="G4507" s="36"/>
      <c r="FV4507" s="24"/>
    </row>
    <row r="4508" spans="7:178" x14ac:dyDescent="0.4">
      <c r="G4508" s="36"/>
      <c r="FV4508" s="24"/>
    </row>
    <row r="4509" spans="7:178" x14ac:dyDescent="0.4">
      <c r="G4509" s="36"/>
      <c r="FV4509" s="24"/>
    </row>
    <row r="4510" spans="7:178" x14ac:dyDescent="0.4">
      <c r="G4510" s="36"/>
      <c r="FV4510" s="24"/>
    </row>
    <row r="4511" spans="7:178" x14ac:dyDescent="0.4">
      <c r="G4511" s="36"/>
      <c r="FV4511" s="24"/>
    </row>
    <row r="4512" spans="7:178" x14ac:dyDescent="0.4">
      <c r="G4512" s="36"/>
      <c r="FV4512" s="24"/>
    </row>
    <row r="4513" spans="7:178" x14ac:dyDescent="0.4">
      <c r="G4513" s="36"/>
      <c r="FV4513" s="24"/>
    </row>
    <row r="4514" spans="7:178" x14ac:dyDescent="0.4">
      <c r="G4514" s="36"/>
      <c r="FV4514" s="24"/>
    </row>
    <row r="4515" spans="7:178" x14ac:dyDescent="0.4">
      <c r="G4515" s="36"/>
      <c r="FV4515" s="24"/>
    </row>
    <row r="4516" spans="7:178" x14ac:dyDescent="0.4">
      <c r="G4516" s="36"/>
      <c r="FV4516" s="24"/>
    </row>
    <row r="4517" spans="7:178" x14ac:dyDescent="0.4">
      <c r="G4517" s="36"/>
      <c r="FV4517" s="24"/>
    </row>
    <row r="4518" spans="7:178" x14ac:dyDescent="0.4">
      <c r="G4518" s="36"/>
      <c r="FV4518" s="24"/>
    </row>
    <row r="4519" spans="7:178" x14ac:dyDescent="0.4">
      <c r="G4519" s="36"/>
      <c r="FV4519" s="24"/>
    </row>
    <row r="4520" spans="7:178" x14ac:dyDescent="0.4">
      <c r="G4520" s="36"/>
      <c r="FV4520" s="24"/>
    </row>
    <row r="4521" spans="7:178" x14ac:dyDescent="0.4">
      <c r="G4521" s="36"/>
      <c r="FV4521" s="24"/>
    </row>
    <row r="4522" spans="7:178" x14ac:dyDescent="0.4">
      <c r="G4522" s="36"/>
      <c r="FV4522" s="24"/>
    </row>
    <row r="4523" spans="7:178" x14ac:dyDescent="0.4">
      <c r="G4523" s="36"/>
      <c r="FV4523" s="24"/>
    </row>
    <row r="4524" spans="7:178" x14ac:dyDescent="0.4">
      <c r="G4524" s="36"/>
      <c r="FV4524" s="24"/>
    </row>
    <row r="4525" spans="7:178" x14ac:dyDescent="0.4">
      <c r="G4525" s="36"/>
      <c r="FV4525" s="24"/>
    </row>
    <row r="4526" spans="7:178" x14ac:dyDescent="0.4">
      <c r="G4526" s="36"/>
      <c r="FV4526" s="24"/>
    </row>
    <row r="4527" spans="7:178" x14ac:dyDescent="0.4">
      <c r="G4527" s="36"/>
      <c r="FV4527" s="24"/>
    </row>
    <row r="4528" spans="7:178" x14ac:dyDescent="0.4">
      <c r="G4528" s="36"/>
      <c r="FV4528" s="24"/>
    </row>
    <row r="4529" spans="7:178" x14ac:dyDescent="0.4">
      <c r="G4529" s="36"/>
      <c r="FV4529" s="24"/>
    </row>
    <row r="4530" spans="7:178" x14ac:dyDescent="0.4">
      <c r="G4530" s="36"/>
      <c r="FV4530" s="24"/>
    </row>
    <row r="4531" spans="7:178" x14ac:dyDescent="0.4">
      <c r="G4531" s="36"/>
      <c r="FV4531" s="24"/>
    </row>
    <row r="4532" spans="7:178" x14ac:dyDescent="0.4">
      <c r="G4532" s="36"/>
      <c r="FV4532" s="24"/>
    </row>
    <row r="4533" spans="7:178" x14ac:dyDescent="0.4">
      <c r="G4533" s="36"/>
      <c r="FV4533" s="24"/>
    </row>
    <row r="4534" spans="7:178" x14ac:dyDescent="0.4">
      <c r="G4534" s="36"/>
      <c r="FV4534" s="24"/>
    </row>
    <row r="4535" spans="7:178" x14ac:dyDescent="0.4">
      <c r="G4535" s="36"/>
      <c r="FV4535" s="24"/>
    </row>
    <row r="4536" spans="7:178" x14ac:dyDescent="0.4">
      <c r="G4536" s="36"/>
      <c r="FV4536" s="24"/>
    </row>
    <row r="4537" spans="7:178" x14ac:dyDescent="0.4">
      <c r="G4537" s="36"/>
      <c r="FV4537" s="24"/>
    </row>
    <row r="4538" spans="7:178" x14ac:dyDescent="0.4">
      <c r="G4538" s="36"/>
      <c r="FV4538" s="24"/>
    </row>
    <row r="4539" spans="7:178" x14ac:dyDescent="0.4">
      <c r="G4539" s="36"/>
      <c r="FV4539" s="24"/>
    </row>
    <row r="4540" spans="7:178" x14ac:dyDescent="0.4">
      <c r="G4540" s="36"/>
      <c r="FV4540" s="24"/>
    </row>
    <row r="4541" spans="7:178" x14ac:dyDescent="0.4">
      <c r="G4541" s="36"/>
      <c r="FV4541" s="24"/>
    </row>
    <row r="4542" spans="7:178" x14ac:dyDescent="0.4">
      <c r="G4542" s="36"/>
      <c r="FV4542" s="24"/>
    </row>
    <row r="4543" spans="7:178" x14ac:dyDescent="0.4">
      <c r="G4543" s="36"/>
      <c r="FV4543" s="24"/>
    </row>
    <row r="4544" spans="7:178" x14ac:dyDescent="0.4">
      <c r="G4544" s="36"/>
      <c r="FV4544" s="24"/>
    </row>
    <row r="4545" spans="7:178" x14ac:dyDescent="0.4">
      <c r="G4545" s="36"/>
      <c r="FV4545" s="24"/>
    </row>
    <row r="4546" spans="7:178" x14ac:dyDescent="0.4">
      <c r="G4546" s="36"/>
      <c r="FV4546" s="24"/>
    </row>
    <row r="4547" spans="7:178" x14ac:dyDescent="0.4">
      <c r="G4547" s="36"/>
      <c r="FV4547" s="24"/>
    </row>
    <row r="4548" spans="7:178" x14ac:dyDescent="0.4">
      <c r="G4548" s="36"/>
      <c r="FV4548" s="24"/>
    </row>
    <row r="4549" spans="7:178" x14ac:dyDescent="0.4">
      <c r="G4549" s="36"/>
      <c r="FV4549" s="24"/>
    </row>
    <row r="4550" spans="7:178" x14ac:dyDescent="0.4">
      <c r="G4550" s="36"/>
      <c r="FV4550" s="24"/>
    </row>
    <row r="4551" spans="7:178" x14ac:dyDescent="0.4">
      <c r="G4551" s="36"/>
      <c r="FV4551" s="24"/>
    </row>
    <row r="4552" spans="7:178" x14ac:dyDescent="0.4">
      <c r="G4552" s="36"/>
      <c r="FV4552" s="24"/>
    </row>
    <row r="4553" spans="7:178" x14ac:dyDescent="0.4">
      <c r="G4553" s="36"/>
      <c r="FV4553" s="24"/>
    </row>
    <row r="4554" spans="7:178" x14ac:dyDescent="0.4">
      <c r="G4554" s="36"/>
      <c r="FV4554" s="24"/>
    </row>
    <row r="4555" spans="7:178" x14ac:dyDescent="0.4">
      <c r="G4555" s="36"/>
      <c r="FV4555" s="24"/>
    </row>
    <row r="4556" spans="7:178" x14ac:dyDescent="0.4">
      <c r="G4556" s="36"/>
      <c r="FV4556" s="24"/>
    </row>
    <row r="4557" spans="7:178" x14ac:dyDescent="0.4">
      <c r="G4557" s="36"/>
      <c r="FV4557" s="24"/>
    </row>
    <row r="4558" spans="7:178" x14ac:dyDescent="0.4">
      <c r="G4558" s="36"/>
      <c r="FV4558" s="24"/>
    </row>
    <row r="4559" spans="7:178" x14ac:dyDescent="0.4">
      <c r="G4559" s="36"/>
      <c r="FV4559" s="24"/>
    </row>
    <row r="4560" spans="7:178" x14ac:dyDescent="0.4">
      <c r="G4560" s="36"/>
      <c r="FV4560" s="24"/>
    </row>
    <row r="4561" spans="7:178" x14ac:dyDescent="0.4">
      <c r="G4561" s="36"/>
      <c r="FV4561" s="24"/>
    </row>
    <row r="4562" spans="7:178" x14ac:dyDescent="0.4">
      <c r="G4562" s="36"/>
      <c r="FV4562" s="24"/>
    </row>
    <row r="4563" spans="7:178" x14ac:dyDescent="0.4">
      <c r="G4563" s="36"/>
      <c r="FV4563" s="24"/>
    </row>
    <row r="4564" spans="7:178" x14ac:dyDescent="0.4">
      <c r="G4564" s="36"/>
      <c r="FV4564" s="24"/>
    </row>
    <row r="4565" spans="7:178" x14ac:dyDescent="0.4">
      <c r="G4565" s="36"/>
      <c r="FV4565" s="24"/>
    </row>
    <row r="4566" spans="7:178" x14ac:dyDescent="0.4">
      <c r="G4566" s="36"/>
      <c r="FV4566" s="24"/>
    </row>
    <row r="4567" spans="7:178" x14ac:dyDescent="0.4">
      <c r="G4567" s="36"/>
      <c r="FV4567" s="24"/>
    </row>
    <row r="4568" spans="7:178" x14ac:dyDescent="0.4">
      <c r="G4568" s="36"/>
      <c r="FV4568" s="24"/>
    </row>
    <row r="4569" spans="7:178" x14ac:dyDescent="0.4">
      <c r="G4569" s="36"/>
      <c r="FV4569" s="24"/>
    </row>
    <row r="4570" spans="7:178" x14ac:dyDescent="0.4">
      <c r="G4570" s="36"/>
      <c r="FV4570" s="24"/>
    </row>
    <row r="4571" spans="7:178" x14ac:dyDescent="0.4">
      <c r="G4571" s="36"/>
      <c r="FV4571" s="24"/>
    </row>
    <row r="4572" spans="7:178" x14ac:dyDescent="0.4">
      <c r="G4572" s="36"/>
      <c r="FV4572" s="24"/>
    </row>
    <row r="4573" spans="7:178" x14ac:dyDescent="0.4">
      <c r="G4573" s="36"/>
      <c r="FV4573" s="24"/>
    </row>
    <row r="4574" spans="7:178" x14ac:dyDescent="0.4">
      <c r="G4574" s="36"/>
      <c r="FV4574" s="24"/>
    </row>
    <row r="4575" spans="7:178" x14ac:dyDescent="0.4">
      <c r="G4575" s="36"/>
      <c r="FV4575" s="24"/>
    </row>
    <row r="4576" spans="7:178" x14ac:dyDescent="0.4">
      <c r="G4576" s="36"/>
      <c r="FV4576" s="24"/>
    </row>
    <row r="4577" spans="7:178" x14ac:dyDescent="0.4">
      <c r="G4577" s="36"/>
      <c r="FV4577" s="24"/>
    </row>
    <row r="4578" spans="7:178" x14ac:dyDescent="0.4">
      <c r="G4578" s="36"/>
      <c r="FV4578" s="24"/>
    </row>
    <row r="4579" spans="7:178" x14ac:dyDescent="0.4">
      <c r="G4579" s="36"/>
      <c r="FV4579" s="24"/>
    </row>
    <row r="4580" spans="7:178" x14ac:dyDescent="0.4">
      <c r="G4580" s="36"/>
      <c r="FV4580" s="24"/>
    </row>
    <row r="4581" spans="7:178" x14ac:dyDescent="0.4">
      <c r="G4581" s="36"/>
      <c r="FV4581" s="24"/>
    </row>
    <row r="4582" spans="7:178" x14ac:dyDescent="0.4">
      <c r="G4582" s="36"/>
      <c r="FV4582" s="24"/>
    </row>
    <row r="4583" spans="7:178" x14ac:dyDescent="0.4">
      <c r="G4583" s="36"/>
      <c r="FV4583" s="24"/>
    </row>
    <row r="4584" spans="7:178" x14ac:dyDescent="0.4">
      <c r="G4584" s="36"/>
      <c r="FV4584" s="24"/>
    </row>
    <row r="4585" spans="7:178" x14ac:dyDescent="0.4">
      <c r="G4585" s="36"/>
      <c r="FV4585" s="24"/>
    </row>
    <row r="4586" spans="7:178" x14ac:dyDescent="0.4">
      <c r="G4586" s="36"/>
      <c r="FV4586" s="24"/>
    </row>
    <row r="4587" spans="7:178" x14ac:dyDescent="0.4">
      <c r="G4587" s="36"/>
      <c r="FV4587" s="24"/>
    </row>
    <row r="4588" spans="7:178" x14ac:dyDescent="0.4">
      <c r="G4588" s="36"/>
      <c r="FV4588" s="24"/>
    </row>
    <row r="4589" spans="7:178" x14ac:dyDescent="0.4">
      <c r="G4589" s="36"/>
      <c r="FV4589" s="24"/>
    </row>
    <row r="4590" spans="7:178" x14ac:dyDescent="0.4">
      <c r="G4590" s="36"/>
      <c r="FV4590" s="24"/>
    </row>
    <row r="4591" spans="7:178" x14ac:dyDescent="0.4">
      <c r="G4591" s="36"/>
      <c r="FV4591" s="24"/>
    </row>
    <row r="4592" spans="7:178" x14ac:dyDescent="0.4">
      <c r="G4592" s="36"/>
      <c r="FV4592" s="24"/>
    </row>
    <row r="4593" spans="7:178" x14ac:dyDescent="0.4">
      <c r="G4593" s="36"/>
      <c r="FV4593" s="24"/>
    </row>
    <row r="4594" spans="7:178" x14ac:dyDescent="0.4">
      <c r="G4594" s="36"/>
      <c r="FV4594" s="24"/>
    </row>
    <row r="4595" spans="7:178" x14ac:dyDescent="0.4">
      <c r="G4595" s="36"/>
      <c r="FV4595" s="24"/>
    </row>
    <row r="4596" spans="7:178" x14ac:dyDescent="0.4">
      <c r="G4596" s="36"/>
      <c r="FV4596" s="24"/>
    </row>
    <row r="4597" spans="7:178" x14ac:dyDescent="0.4">
      <c r="G4597" s="36"/>
      <c r="FV4597" s="24"/>
    </row>
    <row r="4598" spans="7:178" x14ac:dyDescent="0.4">
      <c r="G4598" s="36"/>
      <c r="FV4598" s="24"/>
    </row>
    <row r="4599" spans="7:178" x14ac:dyDescent="0.4">
      <c r="G4599" s="36"/>
      <c r="FV4599" s="24"/>
    </row>
    <row r="4600" spans="7:178" x14ac:dyDescent="0.4">
      <c r="G4600" s="36"/>
      <c r="FV4600" s="24"/>
    </row>
    <row r="4601" spans="7:178" x14ac:dyDescent="0.4">
      <c r="G4601" s="36"/>
      <c r="FV4601" s="24"/>
    </row>
    <row r="4602" spans="7:178" x14ac:dyDescent="0.4">
      <c r="G4602" s="36"/>
      <c r="FV4602" s="24"/>
    </row>
    <row r="4603" spans="7:178" x14ac:dyDescent="0.4">
      <c r="G4603" s="36"/>
      <c r="FV4603" s="24"/>
    </row>
    <row r="4604" spans="7:178" x14ac:dyDescent="0.4">
      <c r="G4604" s="36"/>
      <c r="FV4604" s="24"/>
    </row>
    <row r="4605" spans="7:178" x14ac:dyDescent="0.4">
      <c r="G4605" s="36"/>
      <c r="FV4605" s="24"/>
    </row>
    <row r="4606" spans="7:178" x14ac:dyDescent="0.4">
      <c r="G4606" s="36"/>
      <c r="FV4606" s="24"/>
    </row>
    <row r="4607" spans="7:178" x14ac:dyDescent="0.4">
      <c r="G4607" s="36"/>
      <c r="FV4607" s="24"/>
    </row>
    <row r="4608" spans="7:178" x14ac:dyDescent="0.4">
      <c r="G4608" s="36"/>
      <c r="FV4608" s="24"/>
    </row>
    <row r="4609" spans="7:178" x14ac:dyDescent="0.4">
      <c r="G4609" s="36"/>
      <c r="FV4609" s="24"/>
    </row>
    <row r="4610" spans="7:178" x14ac:dyDescent="0.4">
      <c r="G4610" s="36"/>
      <c r="FV4610" s="24"/>
    </row>
    <row r="4611" spans="7:178" x14ac:dyDescent="0.4">
      <c r="G4611" s="36"/>
      <c r="FV4611" s="24"/>
    </row>
    <row r="4612" spans="7:178" x14ac:dyDescent="0.4">
      <c r="G4612" s="36"/>
      <c r="FV4612" s="24"/>
    </row>
    <row r="4613" spans="7:178" x14ac:dyDescent="0.4">
      <c r="G4613" s="36"/>
      <c r="FV4613" s="24"/>
    </row>
    <row r="4614" spans="7:178" x14ac:dyDescent="0.4">
      <c r="G4614" s="36"/>
      <c r="FV4614" s="24"/>
    </row>
    <row r="4615" spans="7:178" x14ac:dyDescent="0.4">
      <c r="G4615" s="36"/>
      <c r="FV4615" s="24"/>
    </row>
    <row r="4616" spans="7:178" x14ac:dyDescent="0.4">
      <c r="G4616" s="36"/>
      <c r="FV4616" s="24"/>
    </row>
    <row r="4617" spans="7:178" x14ac:dyDescent="0.4">
      <c r="G4617" s="36"/>
      <c r="FV4617" s="24"/>
    </row>
    <row r="4618" spans="7:178" x14ac:dyDescent="0.4">
      <c r="G4618" s="36"/>
      <c r="FV4618" s="24"/>
    </row>
    <row r="4619" spans="7:178" x14ac:dyDescent="0.4">
      <c r="G4619" s="36"/>
      <c r="FV4619" s="24"/>
    </row>
    <row r="4620" spans="7:178" x14ac:dyDescent="0.4">
      <c r="G4620" s="36"/>
      <c r="FV4620" s="24"/>
    </row>
    <row r="4621" spans="7:178" x14ac:dyDescent="0.4">
      <c r="G4621" s="36"/>
      <c r="FV4621" s="24"/>
    </row>
    <row r="4622" spans="7:178" x14ac:dyDescent="0.4">
      <c r="G4622" s="36"/>
      <c r="FV4622" s="24"/>
    </row>
    <row r="4623" spans="7:178" x14ac:dyDescent="0.4">
      <c r="G4623" s="36"/>
      <c r="FV4623" s="24"/>
    </row>
    <row r="4624" spans="7:178" x14ac:dyDescent="0.4">
      <c r="G4624" s="36"/>
      <c r="FV4624" s="24"/>
    </row>
    <row r="4625" spans="7:178" x14ac:dyDescent="0.4">
      <c r="G4625" s="36"/>
      <c r="FV4625" s="24"/>
    </row>
    <row r="4626" spans="7:178" x14ac:dyDescent="0.4">
      <c r="G4626" s="36"/>
      <c r="FV4626" s="24"/>
    </row>
    <row r="4627" spans="7:178" x14ac:dyDescent="0.4">
      <c r="G4627" s="36"/>
      <c r="FV4627" s="24"/>
    </row>
    <row r="4628" spans="7:178" x14ac:dyDescent="0.4">
      <c r="G4628" s="36"/>
      <c r="FV4628" s="24"/>
    </row>
    <row r="4629" spans="7:178" x14ac:dyDescent="0.4">
      <c r="G4629" s="36"/>
      <c r="FV4629" s="24"/>
    </row>
    <row r="4630" spans="7:178" x14ac:dyDescent="0.4">
      <c r="G4630" s="36"/>
      <c r="FV4630" s="24"/>
    </row>
    <row r="4631" spans="7:178" x14ac:dyDescent="0.4">
      <c r="G4631" s="36"/>
      <c r="FV4631" s="24"/>
    </row>
    <row r="4632" spans="7:178" x14ac:dyDescent="0.4">
      <c r="G4632" s="36"/>
      <c r="FV4632" s="24"/>
    </row>
    <row r="4633" spans="7:178" x14ac:dyDescent="0.4">
      <c r="G4633" s="36"/>
      <c r="FV4633" s="24"/>
    </row>
    <row r="4634" spans="7:178" x14ac:dyDescent="0.4">
      <c r="G4634" s="36"/>
      <c r="FV4634" s="24"/>
    </row>
    <row r="4635" spans="7:178" x14ac:dyDescent="0.4">
      <c r="G4635" s="36"/>
      <c r="FV4635" s="24"/>
    </row>
    <row r="4636" spans="7:178" x14ac:dyDescent="0.4">
      <c r="G4636" s="36"/>
      <c r="FV4636" s="24"/>
    </row>
    <row r="4637" spans="7:178" x14ac:dyDescent="0.4">
      <c r="G4637" s="36"/>
      <c r="FV4637" s="24"/>
    </row>
    <row r="4638" spans="7:178" x14ac:dyDescent="0.4">
      <c r="G4638" s="36"/>
      <c r="FV4638" s="24"/>
    </row>
    <row r="4639" spans="7:178" x14ac:dyDescent="0.4">
      <c r="G4639" s="36"/>
      <c r="FV4639" s="24"/>
    </row>
    <row r="4640" spans="7:178" x14ac:dyDescent="0.4">
      <c r="G4640" s="36"/>
      <c r="FV4640" s="24"/>
    </row>
    <row r="4641" spans="7:178" x14ac:dyDescent="0.4">
      <c r="G4641" s="36"/>
      <c r="FV4641" s="24"/>
    </row>
    <row r="4642" spans="7:178" x14ac:dyDescent="0.4">
      <c r="G4642" s="36"/>
      <c r="FV4642" s="24"/>
    </row>
    <row r="4643" spans="7:178" x14ac:dyDescent="0.4">
      <c r="G4643" s="36"/>
      <c r="FV4643" s="24"/>
    </row>
    <row r="4644" spans="7:178" x14ac:dyDescent="0.4">
      <c r="G4644" s="36"/>
      <c r="FV4644" s="24"/>
    </row>
    <row r="4645" spans="7:178" x14ac:dyDescent="0.4">
      <c r="G4645" s="36"/>
      <c r="FV4645" s="24"/>
    </row>
    <row r="4646" spans="7:178" x14ac:dyDescent="0.4">
      <c r="G4646" s="36"/>
      <c r="FV4646" s="24"/>
    </row>
    <row r="4647" spans="7:178" x14ac:dyDescent="0.4">
      <c r="G4647" s="36"/>
      <c r="FV4647" s="24"/>
    </row>
    <row r="4648" spans="7:178" x14ac:dyDescent="0.4">
      <c r="G4648" s="36"/>
      <c r="FV4648" s="24"/>
    </row>
    <row r="4649" spans="7:178" x14ac:dyDescent="0.4">
      <c r="G4649" s="36"/>
      <c r="FV4649" s="24"/>
    </row>
    <row r="4650" spans="7:178" x14ac:dyDescent="0.4">
      <c r="G4650" s="36"/>
      <c r="FV4650" s="24"/>
    </row>
    <row r="4651" spans="7:178" x14ac:dyDescent="0.4">
      <c r="G4651" s="36"/>
      <c r="FV4651" s="24"/>
    </row>
    <row r="4652" spans="7:178" x14ac:dyDescent="0.4">
      <c r="G4652" s="36"/>
      <c r="FV4652" s="24"/>
    </row>
    <row r="4653" spans="7:178" x14ac:dyDescent="0.4">
      <c r="G4653" s="36"/>
      <c r="FV4653" s="24"/>
    </row>
    <row r="4654" spans="7:178" x14ac:dyDescent="0.4">
      <c r="G4654" s="36"/>
      <c r="FV4654" s="24"/>
    </row>
    <row r="4655" spans="7:178" x14ac:dyDescent="0.4">
      <c r="G4655" s="36"/>
      <c r="FV4655" s="24"/>
    </row>
    <row r="4656" spans="7:178" x14ac:dyDescent="0.4">
      <c r="G4656" s="36"/>
      <c r="FV4656" s="24"/>
    </row>
    <row r="4657" spans="7:178" x14ac:dyDescent="0.4">
      <c r="G4657" s="36"/>
      <c r="FV4657" s="24"/>
    </row>
    <row r="4658" spans="7:178" x14ac:dyDescent="0.4">
      <c r="G4658" s="36"/>
      <c r="FV4658" s="24"/>
    </row>
    <row r="4659" spans="7:178" x14ac:dyDescent="0.4">
      <c r="G4659" s="36"/>
      <c r="FV4659" s="24"/>
    </row>
    <row r="4660" spans="7:178" x14ac:dyDescent="0.4">
      <c r="G4660" s="36"/>
      <c r="FV4660" s="24"/>
    </row>
    <row r="4661" spans="7:178" x14ac:dyDescent="0.4">
      <c r="G4661" s="36"/>
      <c r="FV4661" s="24"/>
    </row>
    <row r="4662" spans="7:178" x14ac:dyDescent="0.4">
      <c r="G4662" s="36"/>
      <c r="FV4662" s="24"/>
    </row>
    <row r="4663" spans="7:178" x14ac:dyDescent="0.4">
      <c r="G4663" s="36"/>
      <c r="FV4663" s="24"/>
    </row>
    <row r="4664" spans="7:178" x14ac:dyDescent="0.4">
      <c r="G4664" s="36"/>
      <c r="FV4664" s="24"/>
    </row>
    <row r="4665" spans="7:178" x14ac:dyDescent="0.4">
      <c r="G4665" s="36"/>
      <c r="FV4665" s="24"/>
    </row>
    <row r="4666" spans="7:178" x14ac:dyDescent="0.4">
      <c r="G4666" s="36"/>
      <c r="FV4666" s="24"/>
    </row>
    <row r="4667" spans="7:178" x14ac:dyDescent="0.4">
      <c r="G4667" s="36"/>
      <c r="FV4667" s="24"/>
    </row>
    <row r="4668" spans="7:178" x14ac:dyDescent="0.4">
      <c r="G4668" s="36"/>
      <c r="FV4668" s="24"/>
    </row>
    <row r="4669" spans="7:178" x14ac:dyDescent="0.4">
      <c r="G4669" s="36"/>
      <c r="FV4669" s="24"/>
    </row>
    <row r="4670" spans="7:178" x14ac:dyDescent="0.4">
      <c r="G4670" s="36"/>
      <c r="FV4670" s="24"/>
    </row>
    <row r="4671" spans="7:178" x14ac:dyDescent="0.4">
      <c r="G4671" s="36"/>
      <c r="FV4671" s="24"/>
    </row>
    <row r="4672" spans="7:178" x14ac:dyDescent="0.4">
      <c r="G4672" s="36"/>
      <c r="FV4672" s="24"/>
    </row>
    <row r="4673" spans="7:178" x14ac:dyDescent="0.4">
      <c r="G4673" s="36"/>
      <c r="FV4673" s="24"/>
    </row>
    <row r="4674" spans="7:178" x14ac:dyDescent="0.4">
      <c r="G4674" s="36"/>
      <c r="FV4674" s="24"/>
    </row>
    <row r="4675" spans="7:178" x14ac:dyDescent="0.4">
      <c r="G4675" s="36"/>
      <c r="FV4675" s="24"/>
    </row>
    <row r="4676" spans="7:178" x14ac:dyDescent="0.4">
      <c r="G4676" s="36"/>
      <c r="FV4676" s="24"/>
    </row>
    <row r="4677" spans="7:178" x14ac:dyDescent="0.4">
      <c r="G4677" s="36"/>
      <c r="FV4677" s="24"/>
    </row>
    <row r="4678" spans="7:178" x14ac:dyDescent="0.4">
      <c r="G4678" s="36"/>
      <c r="FV4678" s="24"/>
    </row>
    <row r="4679" spans="7:178" x14ac:dyDescent="0.4">
      <c r="G4679" s="36"/>
      <c r="FV4679" s="24"/>
    </row>
    <row r="4680" spans="7:178" x14ac:dyDescent="0.4">
      <c r="G4680" s="36"/>
      <c r="FV4680" s="24"/>
    </row>
    <row r="4681" spans="7:178" x14ac:dyDescent="0.4">
      <c r="G4681" s="36"/>
      <c r="FV4681" s="24"/>
    </row>
    <row r="4682" spans="7:178" x14ac:dyDescent="0.4">
      <c r="G4682" s="36"/>
      <c r="FV4682" s="24"/>
    </row>
    <row r="4683" spans="7:178" x14ac:dyDescent="0.4">
      <c r="G4683" s="36"/>
      <c r="FV4683" s="24"/>
    </row>
    <row r="4684" spans="7:178" x14ac:dyDescent="0.4">
      <c r="G4684" s="36"/>
      <c r="FV4684" s="24"/>
    </row>
    <row r="4685" spans="7:178" x14ac:dyDescent="0.4">
      <c r="G4685" s="36"/>
      <c r="FV4685" s="24"/>
    </row>
    <row r="4686" spans="7:178" x14ac:dyDescent="0.4">
      <c r="G4686" s="36"/>
      <c r="FV4686" s="24"/>
    </row>
    <row r="4687" spans="7:178" x14ac:dyDescent="0.4">
      <c r="G4687" s="36"/>
      <c r="FV4687" s="24"/>
    </row>
    <row r="4688" spans="7:178" x14ac:dyDescent="0.4">
      <c r="G4688" s="36"/>
      <c r="FV4688" s="24"/>
    </row>
    <row r="4689" spans="7:178" x14ac:dyDescent="0.4">
      <c r="G4689" s="36"/>
      <c r="FV4689" s="24"/>
    </row>
    <row r="4690" spans="7:178" x14ac:dyDescent="0.4">
      <c r="G4690" s="36"/>
      <c r="FV4690" s="24"/>
    </row>
    <row r="4691" spans="7:178" x14ac:dyDescent="0.4">
      <c r="G4691" s="36"/>
      <c r="FV4691" s="24"/>
    </row>
    <row r="4692" spans="7:178" x14ac:dyDescent="0.4">
      <c r="G4692" s="36"/>
      <c r="FV4692" s="24"/>
    </row>
    <row r="4693" spans="7:178" x14ac:dyDescent="0.4">
      <c r="G4693" s="36"/>
      <c r="FV4693" s="24"/>
    </row>
    <row r="4694" spans="7:178" x14ac:dyDescent="0.4">
      <c r="G4694" s="36"/>
      <c r="FV4694" s="24"/>
    </row>
    <row r="4695" spans="7:178" x14ac:dyDescent="0.4">
      <c r="G4695" s="36"/>
      <c r="FV4695" s="24"/>
    </row>
    <row r="4696" spans="7:178" x14ac:dyDescent="0.4">
      <c r="G4696" s="36"/>
      <c r="FV4696" s="24"/>
    </row>
    <row r="4697" spans="7:178" x14ac:dyDescent="0.4">
      <c r="G4697" s="36"/>
      <c r="FV4697" s="24"/>
    </row>
    <row r="4698" spans="7:178" x14ac:dyDescent="0.4">
      <c r="G4698" s="36"/>
      <c r="FV4698" s="24"/>
    </row>
    <row r="4699" spans="7:178" x14ac:dyDescent="0.4">
      <c r="G4699" s="36"/>
      <c r="FV4699" s="24"/>
    </row>
    <row r="4700" spans="7:178" x14ac:dyDescent="0.4">
      <c r="G4700" s="36"/>
      <c r="FV4700" s="24"/>
    </row>
    <row r="4701" spans="7:178" x14ac:dyDescent="0.4">
      <c r="G4701" s="36"/>
      <c r="FV4701" s="24"/>
    </row>
    <row r="4702" spans="7:178" x14ac:dyDescent="0.4">
      <c r="G4702" s="36"/>
      <c r="FV4702" s="24"/>
    </row>
    <row r="4703" spans="7:178" x14ac:dyDescent="0.4">
      <c r="G4703" s="36"/>
      <c r="FV4703" s="24"/>
    </row>
    <row r="4704" spans="7:178" x14ac:dyDescent="0.4">
      <c r="G4704" s="36"/>
      <c r="FV4704" s="24"/>
    </row>
    <row r="4705" spans="7:178" x14ac:dyDescent="0.4">
      <c r="G4705" s="36"/>
      <c r="FV4705" s="24"/>
    </row>
    <row r="4706" spans="7:178" x14ac:dyDescent="0.4">
      <c r="G4706" s="36"/>
      <c r="FV4706" s="24"/>
    </row>
    <row r="4707" spans="7:178" x14ac:dyDescent="0.4">
      <c r="G4707" s="36"/>
      <c r="FV4707" s="24"/>
    </row>
    <row r="4708" spans="7:178" x14ac:dyDescent="0.4">
      <c r="G4708" s="36"/>
      <c r="FV4708" s="24"/>
    </row>
    <row r="4709" spans="7:178" x14ac:dyDescent="0.4">
      <c r="G4709" s="36"/>
      <c r="FV4709" s="24"/>
    </row>
    <row r="4710" spans="7:178" x14ac:dyDescent="0.4">
      <c r="G4710" s="36"/>
      <c r="FV4710" s="24"/>
    </row>
    <row r="4711" spans="7:178" x14ac:dyDescent="0.4">
      <c r="G4711" s="36"/>
      <c r="FV4711" s="24"/>
    </row>
    <row r="4712" spans="7:178" x14ac:dyDescent="0.4">
      <c r="G4712" s="36"/>
      <c r="FV4712" s="24"/>
    </row>
    <row r="4713" spans="7:178" x14ac:dyDescent="0.4">
      <c r="G4713" s="36"/>
      <c r="FV4713" s="24"/>
    </row>
    <row r="4714" spans="7:178" x14ac:dyDescent="0.4">
      <c r="G4714" s="36"/>
      <c r="FV4714" s="24"/>
    </row>
    <row r="4715" spans="7:178" x14ac:dyDescent="0.4">
      <c r="G4715" s="36"/>
      <c r="FV4715" s="24"/>
    </row>
    <row r="4716" spans="7:178" x14ac:dyDescent="0.4">
      <c r="G4716" s="36"/>
      <c r="FV4716" s="24"/>
    </row>
    <row r="4717" spans="7:178" x14ac:dyDescent="0.4">
      <c r="G4717" s="36"/>
      <c r="FV4717" s="24"/>
    </row>
    <row r="4718" spans="7:178" x14ac:dyDescent="0.4">
      <c r="G4718" s="36"/>
      <c r="FV4718" s="24"/>
    </row>
    <row r="4719" spans="7:178" x14ac:dyDescent="0.4">
      <c r="G4719" s="36"/>
      <c r="FV4719" s="24"/>
    </row>
    <row r="4720" spans="7:178" x14ac:dyDescent="0.4">
      <c r="G4720" s="36"/>
      <c r="FV4720" s="24"/>
    </row>
    <row r="4721" spans="7:178" x14ac:dyDescent="0.4">
      <c r="G4721" s="36"/>
      <c r="FV4721" s="24"/>
    </row>
    <row r="4722" spans="7:178" x14ac:dyDescent="0.4">
      <c r="G4722" s="36"/>
      <c r="FV4722" s="24"/>
    </row>
    <row r="4723" spans="7:178" x14ac:dyDescent="0.4">
      <c r="G4723" s="36"/>
      <c r="FV4723" s="24"/>
    </row>
    <row r="4724" spans="7:178" x14ac:dyDescent="0.4">
      <c r="G4724" s="36"/>
      <c r="FV4724" s="24"/>
    </row>
    <row r="4725" spans="7:178" x14ac:dyDescent="0.4">
      <c r="G4725" s="36"/>
      <c r="FV4725" s="24"/>
    </row>
    <row r="4726" spans="7:178" x14ac:dyDescent="0.4">
      <c r="G4726" s="36"/>
      <c r="FV4726" s="24"/>
    </row>
    <row r="4727" spans="7:178" x14ac:dyDescent="0.4">
      <c r="G4727" s="36"/>
      <c r="FV4727" s="24"/>
    </row>
    <row r="4728" spans="7:178" x14ac:dyDescent="0.4">
      <c r="G4728" s="36"/>
      <c r="FV4728" s="24"/>
    </row>
    <row r="4729" spans="7:178" x14ac:dyDescent="0.4">
      <c r="G4729" s="36"/>
      <c r="FV4729" s="24"/>
    </row>
    <row r="4730" spans="7:178" x14ac:dyDescent="0.4">
      <c r="G4730" s="36"/>
      <c r="FV4730" s="24"/>
    </row>
    <row r="4731" spans="7:178" x14ac:dyDescent="0.4">
      <c r="G4731" s="36"/>
      <c r="FV4731" s="24"/>
    </row>
    <row r="4732" spans="7:178" x14ac:dyDescent="0.4">
      <c r="G4732" s="36"/>
      <c r="FV4732" s="24"/>
    </row>
    <row r="4733" spans="7:178" x14ac:dyDescent="0.4">
      <c r="G4733" s="36"/>
      <c r="FV4733" s="24"/>
    </row>
    <row r="4734" spans="7:178" x14ac:dyDescent="0.4">
      <c r="G4734" s="36"/>
      <c r="FV4734" s="24"/>
    </row>
    <row r="4735" spans="7:178" x14ac:dyDescent="0.4">
      <c r="G4735" s="36"/>
      <c r="FV4735" s="24"/>
    </row>
    <row r="4736" spans="7:178" x14ac:dyDescent="0.4">
      <c r="G4736" s="36"/>
      <c r="FV4736" s="24"/>
    </row>
    <row r="4737" spans="7:178" x14ac:dyDescent="0.4">
      <c r="G4737" s="36"/>
      <c r="FV4737" s="24"/>
    </row>
    <row r="4738" spans="7:178" x14ac:dyDescent="0.4">
      <c r="G4738" s="36"/>
      <c r="FV4738" s="24"/>
    </row>
    <row r="4739" spans="7:178" x14ac:dyDescent="0.4">
      <c r="G4739" s="36"/>
      <c r="FV4739" s="24"/>
    </row>
    <row r="4740" spans="7:178" x14ac:dyDescent="0.4">
      <c r="G4740" s="36"/>
      <c r="FV4740" s="24"/>
    </row>
    <row r="4741" spans="7:178" x14ac:dyDescent="0.4">
      <c r="G4741" s="36"/>
      <c r="FV4741" s="24"/>
    </row>
    <row r="4742" spans="7:178" x14ac:dyDescent="0.4">
      <c r="G4742" s="36"/>
      <c r="FV4742" s="24"/>
    </row>
    <row r="4743" spans="7:178" x14ac:dyDescent="0.4">
      <c r="G4743" s="36"/>
      <c r="FV4743" s="24"/>
    </row>
    <row r="4744" spans="7:178" x14ac:dyDescent="0.4">
      <c r="G4744" s="36"/>
      <c r="FV4744" s="24"/>
    </row>
    <row r="4745" spans="7:178" x14ac:dyDescent="0.4">
      <c r="G4745" s="36"/>
      <c r="FV4745" s="24"/>
    </row>
    <row r="4746" spans="7:178" x14ac:dyDescent="0.4">
      <c r="G4746" s="36"/>
      <c r="FV4746" s="24"/>
    </row>
    <row r="4747" spans="7:178" x14ac:dyDescent="0.4">
      <c r="G4747" s="36"/>
      <c r="FV4747" s="24"/>
    </row>
    <row r="4748" spans="7:178" x14ac:dyDescent="0.4">
      <c r="G4748" s="36"/>
      <c r="FV4748" s="24"/>
    </row>
    <row r="4749" spans="7:178" x14ac:dyDescent="0.4">
      <c r="G4749" s="36"/>
      <c r="FV4749" s="24"/>
    </row>
    <row r="4750" spans="7:178" x14ac:dyDescent="0.4">
      <c r="G4750" s="36"/>
      <c r="FV4750" s="24"/>
    </row>
    <row r="4751" spans="7:178" x14ac:dyDescent="0.4">
      <c r="G4751" s="36"/>
      <c r="FV4751" s="24"/>
    </row>
    <row r="4752" spans="7:178" x14ac:dyDescent="0.4">
      <c r="G4752" s="36"/>
      <c r="FV4752" s="24"/>
    </row>
    <row r="4753" spans="7:178" x14ac:dyDescent="0.4">
      <c r="G4753" s="36"/>
      <c r="FV4753" s="24"/>
    </row>
    <row r="4754" spans="7:178" x14ac:dyDescent="0.4">
      <c r="G4754" s="36"/>
      <c r="FV4754" s="24"/>
    </row>
    <row r="4755" spans="7:178" x14ac:dyDescent="0.4">
      <c r="G4755" s="36"/>
      <c r="FV4755" s="24"/>
    </row>
    <row r="4756" spans="7:178" x14ac:dyDescent="0.4">
      <c r="G4756" s="36"/>
      <c r="FV4756" s="24"/>
    </row>
    <row r="4757" spans="7:178" x14ac:dyDescent="0.4">
      <c r="G4757" s="36"/>
      <c r="FV4757" s="24"/>
    </row>
    <row r="4758" spans="7:178" x14ac:dyDescent="0.4">
      <c r="G4758" s="36"/>
      <c r="FV4758" s="24"/>
    </row>
    <row r="4759" spans="7:178" x14ac:dyDescent="0.4">
      <c r="G4759" s="36"/>
      <c r="FV4759" s="24"/>
    </row>
    <row r="4760" spans="7:178" x14ac:dyDescent="0.4">
      <c r="G4760" s="36"/>
      <c r="FV4760" s="24"/>
    </row>
    <row r="4761" spans="7:178" x14ac:dyDescent="0.4">
      <c r="G4761" s="36"/>
      <c r="FV4761" s="24"/>
    </row>
    <row r="4762" spans="7:178" x14ac:dyDescent="0.4">
      <c r="G4762" s="36"/>
      <c r="FV4762" s="24"/>
    </row>
    <row r="4763" spans="7:178" x14ac:dyDescent="0.4">
      <c r="G4763" s="36"/>
      <c r="FV4763" s="24"/>
    </row>
    <row r="4764" spans="7:178" x14ac:dyDescent="0.4">
      <c r="G4764" s="36"/>
      <c r="FV4764" s="24"/>
    </row>
    <row r="4765" spans="7:178" x14ac:dyDescent="0.4">
      <c r="G4765" s="36"/>
      <c r="FV4765" s="24"/>
    </row>
    <row r="4766" spans="7:178" x14ac:dyDescent="0.4">
      <c r="G4766" s="36"/>
      <c r="FV4766" s="24"/>
    </row>
    <row r="4767" spans="7:178" x14ac:dyDescent="0.4">
      <c r="G4767" s="36"/>
      <c r="FV4767" s="24"/>
    </row>
    <row r="4768" spans="7:178" x14ac:dyDescent="0.4">
      <c r="G4768" s="36"/>
      <c r="FV4768" s="24"/>
    </row>
    <row r="4769" spans="7:178" x14ac:dyDescent="0.4">
      <c r="G4769" s="36"/>
      <c r="FV4769" s="24"/>
    </row>
    <row r="4770" spans="7:178" x14ac:dyDescent="0.4">
      <c r="G4770" s="36"/>
      <c r="FV4770" s="24"/>
    </row>
    <row r="4771" spans="7:178" x14ac:dyDescent="0.4">
      <c r="G4771" s="36"/>
      <c r="FV4771" s="24"/>
    </row>
    <row r="4772" spans="7:178" x14ac:dyDescent="0.4">
      <c r="G4772" s="36"/>
      <c r="FV4772" s="24"/>
    </row>
    <row r="4773" spans="7:178" x14ac:dyDescent="0.4">
      <c r="G4773" s="36"/>
      <c r="FV4773" s="24"/>
    </row>
    <row r="4774" spans="7:178" x14ac:dyDescent="0.4">
      <c r="G4774" s="36"/>
      <c r="FV4774" s="24"/>
    </row>
    <row r="4775" spans="7:178" x14ac:dyDescent="0.4">
      <c r="G4775" s="36"/>
      <c r="FV4775" s="24"/>
    </row>
    <row r="4776" spans="7:178" x14ac:dyDescent="0.4">
      <c r="G4776" s="36"/>
      <c r="FV4776" s="24"/>
    </row>
    <row r="4777" spans="7:178" x14ac:dyDescent="0.4">
      <c r="G4777" s="36"/>
      <c r="FV4777" s="24"/>
    </row>
    <row r="4778" spans="7:178" x14ac:dyDescent="0.4">
      <c r="G4778" s="36"/>
      <c r="FV4778" s="24"/>
    </row>
    <row r="4779" spans="7:178" x14ac:dyDescent="0.4">
      <c r="G4779" s="36"/>
      <c r="FV4779" s="24"/>
    </row>
    <row r="4780" spans="7:178" x14ac:dyDescent="0.4">
      <c r="G4780" s="36"/>
      <c r="FV4780" s="24"/>
    </row>
    <row r="4781" spans="7:178" x14ac:dyDescent="0.4">
      <c r="G4781" s="36"/>
      <c r="FV4781" s="24"/>
    </row>
    <row r="4782" spans="7:178" x14ac:dyDescent="0.4">
      <c r="G4782" s="36"/>
      <c r="FV4782" s="24"/>
    </row>
    <row r="4783" spans="7:178" x14ac:dyDescent="0.4">
      <c r="G4783" s="36"/>
      <c r="FV4783" s="24"/>
    </row>
    <row r="4784" spans="7:178" x14ac:dyDescent="0.4">
      <c r="G4784" s="36"/>
      <c r="FV4784" s="24"/>
    </row>
    <row r="4785" spans="7:178" x14ac:dyDescent="0.4">
      <c r="G4785" s="36"/>
      <c r="FV4785" s="24"/>
    </row>
    <row r="4786" spans="7:178" x14ac:dyDescent="0.4">
      <c r="G4786" s="36"/>
      <c r="FV4786" s="24"/>
    </row>
    <row r="4787" spans="7:178" x14ac:dyDescent="0.4">
      <c r="G4787" s="36"/>
      <c r="FV4787" s="24"/>
    </row>
    <row r="4788" spans="7:178" x14ac:dyDescent="0.4">
      <c r="G4788" s="36"/>
      <c r="FV4788" s="24"/>
    </row>
    <row r="4789" spans="7:178" x14ac:dyDescent="0.4">
      <c r="G4789" s="36"/>
      <c r="FV4789" s="24"/>
    </row>
    <row r="4790" spans="7:178" x14ac:dyDescent="0.4">
      <c r="G4790" s="36"/>
      <c r="FV4790" s="24"/>
    </row>
    <row r="4791" spans="7:178" x14ac:dyDescent="0.4">
      <c r="G4791" s="36"/>
      <c r="FV4791" s="24"/>
    </row>
    <row r="4792" spans="7:178" x14ac:dyDescent="0.4">
      <c r="G4792" s="36"/>
      <c r="FV4792" s="24"/>
    </row>
    <row r="4793" spans="7:178" x14ac:dyDescent="0.4">
      <c r="G4793" s="36"/>
      <c r="FV4793" s="24"/>
    </row>
    <row r="4794" spans="7:178" x14ac:dyDescent="0.4">
      <c r="G4794" s="36"/>
      <c r="FV4794" s="24"/>
    </row>
    <row r="4795" spans="7:178" x14ac:dyDescent="0.4">
      <c r="G4795" s="36"/>
      <c r="FV4795" s="24"/>
    </row>
    <row r="4796" spans="7:178" x14ac:dyDescent="0.4">
      <c r="G4796" s="36"/>
      <c r="FV4796" s="24"/>
    </row>
    <row r="4797" spans="7:178" x14ac:dyDescent="0.4">
      <c r="G4797" s="36"/>
      <c r="FV4797" s="24"/>
    </row>
    <row r="4798" spans="7:178" x14ac:dyDescent="0.4">
      <c r="G4798" s="36"/>
      <c r="FV4798" s="24"/>
    </row>
    <row r="4799" spans="7:178" x14ac:dyDescent="0.4">
      <c r="G4799" s="36"/>
      <c r="FV4799" s="24"/>
    </row>
    <row r="4800" spans="7:178" x14ac:dyDescent="0.4">
      <c r="G4800" s="36"/>
      <c r="FV4800" s="24"/>
    </row>
    <row r="4801" spans="7:178" x14ac:dyDescent="0.4">
      <c r="G4801" s="36"/>
      <c r="FV4801" s="24"/>
    </row>
    <row r="4802" spans="7:178" x14ac:dyDescent="0.4">
      <c r="G4802" s="36"/>
      <c r="FV4802" s="24"/>
    </row>
    <row r="4803" spans="7:178" x14ac:dyDescent="0.4">
      <c r="G4803" s="36"/>
      <c r="FV4803" s="24"/>
    </row>
    <row r="4804" spans="7:178" x14ac:dyDescent="0.4">
      <c r="G4804" s="36"/>
      <c r="FV4804" s="24"/>
    </row>
    <row r="4805" spans="7:178" x14ac:dyDescent="0.4">
      <c r="G4805" s="36"/>
      <c r="FV4805" s="24"/>
    </row>
    <row r="4806" spans="7:178" x14ac:dyDescent="0.4">
      <c r="G4806" s="36"/>
      <c r="FV4806" s="24"/>
    </row>
    <row r="4807" spans="7:178" x14ac:dyDescent="0.4">
      <c r="G4807" s="36"/>
      <c r="FV4807" s="24"/>
    </row>
    <row r="4808" spans="7:178" x14ac:dyDescent="0.4">
      <c r="G4808" s="36"/>
      <c r="FV4808" s="24"/>
    </row>
    <row r="4809" spans="7:178" x14ac:dyDescent="0.4">
      <c r="G4809" s="36"/>
      <c r="FV4809" s="24"/>
    </row>
    <row r="4810" spans="7:178" x14ac:dyDescent="0.4">
      <c r="G4810" s="36"/>
      <c r="FV4810" s="24"/>
    </row>
    <row r="4811" spans="7:178" x14ac:dyDescent="0.4">
      <c r="G4811" s="36"/>
      <c r="FV4811" s="24"/>
    </row>
    <row r="4812" spans="7:178" x14ac:dyDescent="0.4">
      <c r="G4812" s="36"/>
      <c r="FV4812" s="24"/>
    </row>
    <row r="4813" spans="7:178" x14ac:dyDescent="0.4">
      <c r="G4813" s="36"/>
      <c r="FV4813" s="24"/>
    </row>
    <row r="4814" spans="7:178" x14ac:dyDescent="0.4">
      <c r="G4814" s="36"/>
      <c r="FV4814" s="24"/>
    </row>
    <row r="4815" spans="7:178" x14ac:dyDescent="0.4">
      <c r="G4815" s="36"/>
      <c r="FV4815" s="24"/>
    </row>
    <row r="4816" spans="7:178" x14ac:dyDescent="0.4">
      <c r="G4816" s="36"/>
      <c r="FV4816" s="24"/>
    </row>
    <row r="4817" spans="7:178" x14ac:dyDescent="0.4">
      <c r="G4817" s="36"/>
      <c r="FV4817" s="24"/>
    </row>
    <row r="4818" spans="7:178" x14ac:dyDescent="0.4">
      <c r="G4818" s="36"/>
      <c r="FV4818" s="24"/>
    </row>
    <row r="4819" spans="7:178" x14ac:dyDescent="0.4">
      <c r="G4819" s="36"/>
      <c r="FV4819" s="24"/>
    </row>
    <row r="4820" spans="7:178" x14ac:dyDescent="0.4">
      <c r="G4820" s="36"/>
      <c r="FV4820" s="24"/>
    </row>
    <row r="4821" spans="7:178" x14ac:dyDescent="0.4">
      <c r="G4821" s="36"/>
      <c r="FV4821" s="24"/>
    </row>
    <row r="4822" spans="7:178" x14ac:dyDescent="0.4">
      <c r="G4822" s="36"/>
      <c r="FV4822" s="24"/>
    </row>
    <row r="4823" spans="7:178" x14ac:dyDescent="0.4">
      <c r="G4823" s="36"/>
      <c r="FV4823" s="24"/>
    </row>
    <row r="4824" spans="7:178" x14ac:dyDescent="0.4">
      <c r="G4824" s="36"/>
      <c r="FV4824" s="24"/>
    </row>
    <row r="4825" spans="7:178" x14ac:dyDescent="0.4">
      <c r="G4825" s="36"/>
      <c r="FV4825" s="24"/>
    </row>
    <row r="4826" spans="7:178" x14ac:dyDescent="0.4">
      <c r="G4826" s="36"/>
      <c r="FV4826" s="24"/>
    </row>
    <row r="4827" spans="7:178" x14ac:dyDescent="0.4">
      <c r="G4827" s="36"/>
      <c r="FV4827" s="24"/>
    </row>
    <row r="4828" spans="7:178" x14ac:dyDescent="0.4">
      <c r="G4828" s="36"/>
      <c r="FV4828" s="24"/>
    </row>
    <row r="4829" spans="7:178" x14ac:dyDescent="0.4">
      <c r="G4829" s="36"/>
      <c r="FV4829" s="24"/>
    </row>
    <row r="4830" spans="7:178" x14ac:dyDescent="0.4">
      <c r="G4830" s="36"/>
      <c r="FV4830" s="24"/>
    </row>
    <row r="4831" spans="7:178" x14ac:dyDescent="0.4">
      <c r="G4831" s="36"/>
      <c r="FV4831" s="24"/>
    </row>
    <row r="4832" spans="7:178" x14ac:dyDescent="0.4">
      <c r="G4832" s="36"/>
      <c r="FV4832" s="24"/>
    </row>
    <row r="4833" spans="7:178" x14ac:dyDescent="0.4">
      <c r="G4833" s="36"/>
      <c r="FV4833" s="24"/>
    </row>
    <row r="4834" spans="7:178" x14ac:dyDescent="0.4">
      <c r="G4834" s="36"/>
      <c r="FV4834" s="24"/>
    </row>
    <row r="4835" spans="7:178" x14ac:dyDescent="0.4">
      <c r="G4835" s="36"/>
      <c r="FV4835" s="24"/>
    </row>
    <row r="4836" spans="7:178" x14ac:dyDescent="0.4">
      <c r="G4836" s="36"/>
      <c r="FV4836" s="24"/>
    </row>
    <row r="4837" spans="7:178" x14ac:dyDescent="0.4">
      <c r="G4837" s="36"/>
      <c r="FV4837" s="24"/>
    </row>
    <row r="4838" spans="7:178" x14ac:dyDescent="0.4">
      <c r="G4838" s="36"/>
      <c r="FV4838" s="24"/>
    </row>
    <row r="4839" spans="7:178" x14ac:dyDescent="0.4">
      <c r="G4839" s="36"/>
      <c r="FV4839" s="24"/>
    </row>
    <row r="4840" spans="7:178" x14ac:dyDescent="0.4">
      <c r="G4840" s="36"/>
      <c r="FV4840" s="24"/>
    </row>
    <row r="4841" spans="7:178" x14ac:dyDescent="0.4">
      <c r="G4841" s="36"/>
      <c r="FV4841" s="24"/>
    </row>
    <row r="4842" spans="7:178" x14ac:dyDescent="0.4">
      <c r="G4842" s="36"/>
      <c r="FV4842" s="24"/>
    </row>
    <row r="4843" spans="7:178" x14ac:dyDescent="0.4">
      <c r="G4843" s="36"/>
      <c r="FV4843" s="24"/>
    </row>
    <row r="4844" spans="7:178" x14ac:dyDescent="0.4">
      <c r="G4844" s="36"/>
      <c r="FV4844" s="24"/>
    </row>
    <row r="4845" spans="7:178" x14ac:dyDescent="0.4">
      <c r="G4845" s="36"/>
      <c r="FV4845" s="24"/>
    </row>
    <row r="4846" spans="7:178" x14ac:dyDescent="0.4">
      <c r="G4846" s="36"/>
      <c r="FV4846" s="24"/>
    </row>
    <row r="4847" spans="7:178" x14ac:dyDescent="0.4">
      <c r="G4847" s="36"/>
      <c r="FV4847" s="24"/>
    </row>
    <row r="4848" spans="7:178" x14ac:dyDescent="0.4">
      <c r="G4848" s="36"/>
      <c r="FV4848" s="24"/>
    </row>
    <row r="4849" spans="7:178" x14ac:dyDescent="0.4">
      <c r="G4849" s="36"/>
      <c r="FV4849" s="24"/>
    </row>
    <row r="4850" spans="7:178" x14ac:dyDescent="0.4">
      <c r="G4850" s="36"/>
      <c r="FV4850" s="24"/>
    </row>
    <row r="4851" spans="7:178" x14ac:dyDescent="0.4">
      <c r="G4851" s="36"/>
      <c r="FV4851" s="24"/>
    </row>
    <row r="4852" spans="7:178" x14ac:dyDescent="0.4">
      <c r="G4852" s="36"/>
      <c r="FV4852" s="24"/>
    </row>
    <row r="4853" spans="7:178" x14ac:dyDescent="0.4">
      <c r="G4853" s="36"/>
      <c r="FV4853" s="24"/>
    </row>
    <row r="4854" spans="7:178" x14ac:dyDescent="0.4">
      <c r="G4854" s="36"/>
      <c r="FV4854" s="24"/>
    </row>
    <row r="4855" spans="7:178" x14ac:dyDescent="0.4">
      <c r="G4855" s="36"/>
      <c r="FV4855" s="24"/>
    </row>
    <row r="4856" spans="7:178" x14ac:dyDescent="0.4">
      <c r="G4856" s="36"/>
      <c r="FV4856" s="24"/>
    </row>
    <row r="4857" spans="7:178" x14ac:dyDescent="0.4">
      <c r="G4857" s="36"/>
      <c r="FV4857" s="24"/>
    </row>
    <row r="4858" spans="7:178" x14ac:dyDescent="0.4">
      <c r="G4858" s="36"/>
      <c r="FV4858" s="24"/>
    </row>
    <row r="4859" spans="7:178" x14ac:dyDescent="0.4">
      <c r="G4859" s="36"/>
      <c r="FV4859" s="24"/>
    </row>
    <row r="4860" spans="7:178" x14ac:dyDescent="0.4">
      <c r="G4860" s="36"/>
      <c r="FV4860" s="24"/>
    </row>
    <row r="4861" spans="7:178" x14ac:dyDescent="0.4">
      <c r="G4861" s="36"/>
      <c r="FV4861" s="24"/>
    </row>
    <row r="4862" spans="7:178" x14ac:dyDescent="0.4">
      <c r="G4862" s="36"/>
      <c r="FV4862" s="24"/>
    </row>
    <row r="4863" spans="7:178" x14ac:dyDescent="0.4">
      <c r="G4863" s="36"/>
      <c r="FV4863" s="24"/>
    </row>
    <row r="4864" spans="7:178" x14ac:dyDescent="0.4">
      <c r="G4864" s="36"/>
      <c r="FV4864" s="24"/>
    </row>
    <row r="4865" spans="7:178" x14ac:dyDescent="0.4">
      <c r="G4865" s="36"/>
      <c r="FV4865" s="24"/>
    </row>
    <row r="4866" spans="7:178" x14ac:dyDescent="0.4">
      <c r="G4866" s="36"/>
      <c r="FV4866" s="24"/>
    </row>
    <row r="4867" spans="7:178" x14ac:dyDescent="0.4">
      <c r="G4867" s="36"/>
      <c r="FV4867" s="24"/>
    </row>
    <row r="4868" spans="7:178" x14ac:dyDescent="0.4">
      <c r="G4868" s="36"/>
      <c r="FV4868" s="24"/>
    </row>
    <row r="4869" spans="7:178" x14ac:dyDescent="0.4">
      <c r="G4869" s="36"/>
      <c r="FV4869" s="24"/>
    </row>
    <row r="4870" spans="7:178" x14ac:dyDescent="0.4">
      <c r="G4870" s="36"/>
      <c r="FV4870" s="24"/>
    </row>
    <row r="4871" spans="7:178" x14ac:dyDescent="0.4">
      <c r="G4871" s="36"/>
      <c r="FV4871" s="24"/>
    </row>
    <row r="4872" spans="7:178" x14ac:dyDescent="0.4">
      <c r="G4872" s="36"/>
      <c r="FV4872" s="24"/>
    </row>
    <row r="4873" spans="7:178" x14ac:dyDescent="0.4">
      <c r="G4873" s="36"/>
      <c r="FV4873" s="24"/>
    </row>
    <row r="4874" spans="7:178" x14ac:dyDescent="0.4">
      <c r="G4874" s="36"/>
      <c r="FV4874" s="24"/>
    </row>
    <row r="4875" spans="7:178" x14ac:dyDescent="0.4">
      <c r="G4875" s="36"/>
      <c r="FV4875" s="24"/>
    </row>
    <row r="4876" spans="7:178" x14ac:dyDescent="0.4">
      <c r="G4876" s="36"/>
      <c r="FV4876" s="24"/>
    </row>
    <row r="4877" spans="7:178" x14ac:dyDescent="0.4">
      <c r="G4877" s="36"/>
      <c r="FV4877" s="24"/>
    </row>
    <row r="4878" spans="7:178" x14ac:dyDescent="0.4">
      <c r="G4878" s="36"/>
      <c r="FV4878" s="24"/>
    </row>
    <row r="4879" spans="7:178" x14ac:dyDescent="0.4">
      <c r="G4879" s="36"/>
      <c r="FV4879" s="24"/>
    </row>
    <row r="4880" spans="7:178" x14ac:dyDescent="0.4">
      <c r="G4880" s="36"/>
      <c r="FV4880" s="24"/>
    </row>
    <row r="4881" spans="7:178" x14ac:dyDescent="0.4">
      <c r="G4881" s="36"/>
      <c r="FV4881" s="24"/>
    </row>
    <row r="4882" spans="7:178" x14ac:dyDescent="0.4">
      <c r="G4882" s="36"/>
      <c r="FV4882" s="24"/>
    </row>
    <row r="4883" spans="7:178" x14ac:dyDescent="0.4">
      <c r="G4883" s="36"/>
      <c r="FV4883" s="24"/>
    </row>
    <row r="4884" spans="7:178" x14ac:dyDescent="0.4">
      <c r="G4884" s="36"/>
      <c r="FV4884" s="24"/>
    </row>
    <row r="4885" spans="7:178" x14ac:dyDescent="0.4">
      <c r="G4885" s="36"/>
      <c r="FV4885" s="24"/>
    </row>
    <row r="4886" spans="7:178" x14ac:dyDescent="0.4">
      <c r="G4886" s="36"/>
      <c r="FV4886" s="24"/>
    </row>
    <row r="4887" spans="7:178" x14ac:dyDescent="0.4">
      <c r="G4887" s="36"/>
      <c r="FV4887" s="24"/>
    </row>
    <row r="4888" spans="7:178" x14ac:dyDescent="0.4">
      <c r="G4888" s="36"/>
      <c r="FV4888" s="24"/>
    </row>
    <row r="4889" spans="7:178" x14ac:dyDescent="0.4">
      <c r="G4889" s="36"/>
      <c r="FV4889" s="24"/>
    </row>
    <row r="4890" spans="7:178" x14ac:dyDescent="0.4">
      <c r="G4890" s="36"/>
      <c r="FV4890" s="24"/>
    </row>
    <row r="4891" spans="7:178" x14ac:dyDescent="0.4">
      <c r="G4891" s="36"/>
      <c r="FV4891" s="24"/>
    </row>
    <row r="4892" spans="7:178" x14ac:dyDescent="0.4">
      <c r="G4892" s="36"/>
      <c r="FV4892" s="24"/>
    </row>
    <row r="4893" spans="7:178" x14ac:dyDescent="0.4">
      <c r="G4893" s="36"/>
      <c r="FV4893" s="24"/>
    </row>
    <row r="4894" spans="7:178" x14ac:dyDescent="0.4">
      <c r="G4894" s="36"/>
      <c r="FV4894" s="24"/>
    </row>
    <row r="4895" spans="7:178" x14ac:dyDescent="0.4">
      <c r="G4895" s="36"/>
      <c r="FV4895" s="24"/>
    </row>
    <row r="4896" spans="7:178" x14ac:dyDescent="0.4">
      <c r="G4896" s="36"/>
      <c r="FV4896" s="24"/>
    </row>
    <row r="4897" spans="7:178" x14ac:dyDescent="0.4">
      <c r="G4897" s="36"/>
      <c r="FV4897" s="24"/>
    </row>
    <row r="4898" spans="7:178" x14ac:dyDescent="0.4">
      <c r="G4898" s="36"/>
      <c r="FV4898" s="24"/>
    </row>
    <row r="4899" spans="7:178" x14ac:dyDescent="0.4">
      <c r="G4899" s="36"/>
      <c r="FV4899" s="24"/>
    </row>
    <row r="4900" spans="7:178" x14ac:dyDescent="0.4">
      <c r="G4900" s="36"/>
      <c r="FV4900" s="24"/>
    </row>
    <row r="4901" spans="7:178" x14ac:dyDescent="0.4">
      <c r="G4901" s="36"/>
      <c r="FV4901" s="24"/>
    </row>
    <row r="4902" spans="7:178" x14ac:dyDescent="0.4">
      <c r="G4902" s="36"/>
      <c r="FV4902" s="24"/>
    </row>
    <row r="4903" spans="7:178" x14ac:dyDescent="0.4">
      <c r="G4903" s="36"/>
      <c r="FV4903" s="24"/>
    </row>
    <row r="4904" spans="7:178" x14ac:dyDescent="0.4">
      <c r="G4904" s="36"/>
      <c r="FV4904" s="24"/>
    </row>
    <row r="4905" spans="7:178" x14ac:dyDescent="0.4">
      <c r="G4905" s="36"/>
      <c r="FV4905" s="24"/>
    </row>
    <row r="4906" spans="7:178" x14ac:dyDescent="0.4">
      <c r="G4906" s="36"/>
      <c r="FV4906" s="24"/>
    </row>
    <row r="4907" spans="7:178" x14ac:dyDescent="0.4">
      <c r="G4907" s="36"/>
      <c r="FV4907" s="24"/>
    </row>
    <row r="4908" spans="7:178" x14ac:dyDescent="0.4">
      <c r="G4908" s="36"/>
      <c r="FV4908" s="24"/>
    </row>
    <row r="4909" spans="7:178" x14ac:dyDescent="0.4">
      <c r="G4909" s="36"/>
      <c r="FV4909" s="24"/>
    </row>
    <row r="4910" spans="7:178" x14ac:dyDescent="0.4">
      <c r="G4910" s="36"/>
      <c r="FV4910" s="24"/>
    </row>
    <row r="4911" spans="7:178" x14ac:dyDescent="0.4">
      <c r="G4911" s="36"/>
      <c r="FV4911" s="24"/>
    </row>
    <row r="4912" spans="7:178" x14ac:dyDescent="0.4">
      <c r="G4912" s="36"/>
      <c r="FV4912" s="24"/>
    </row>
    <row r="4913" spans="7:178" x14ac:dyDescent="0.4">
      <c r="G4913" s="36"/>
      <c r="FV4913" s="24"/>
    </row>
    <row r="4914" spans="7:178" x14ac:dyDescent="0.4">
      <c r="G4914" s="36"/>
      <c r="FV4914" s="24"/>
    </row>
    <row r="4915" spans="7:178" x14ac:dyDescent="0.4">
      <c r="G4915" s="36"/>
      <c r="FV4915" s="24"/>
    </row>
    <row r="4916" spans="7:178" x14ac:dyDescent="0.4">
      <c r="G4916" s="36"/>
      <c r="FV4916" s="24"/>
    </row>
    <row r="4917" spans="7:178" x14ac:dyDescent="0.4">
      <c r="G4917" s="36"/>
      <c r="FV4917" s="24"/>
    </row>
    <row r="4918" spans="7:178" x14ac:dyDescent="0.4">
      <c r="G4918" s="36"/>
      <c r="FV4918" s="24"/>
    </row>
    <row r="4919" spans="7:178" x14ac:dyDescent="0.4">
      <c r="G4919" s="36"/>
      <c r="FV4919" s="24"/>
    </row>
    <row r="4920" spans="7:178" x14ac:dyDescent="0.4">
      <c r="G4920" s="36"/>
      <c r="FV4920" s="24"/>
    </row>
    <row r="4921" spans="7:178" x14ac:dyDescent="0.4">
      <c r="G4921" s="36"/>
      <c r="FV4921" s="24"/>
    </row>
    <row r="4922" spans="7:178" x14ac:dyDescent="0.4">
      <c r="G4922" s="36"/>
      <c r="FV4922" s="24"/>
    </row>
    <row r="4923" spans="7:178" x14ac:dyDescent="0.4">
      <c r="G4923" s="36"/>
      <c r="FV4923" s="24"/>
    </row>
    <row r="4924" spans="7:178" x14ac:dyDescent="0.4">
      <c r="G4924" s="36"/>
      <c r="FV4924" s="24"/>
    </row>
    <row r="4925" spans="7:178" x14ac:dyDescent="0.4">
      <c r="G4925" s="36"/>
      <c r="FV4925" s="24"/>
    </row>
    <row r="4926" spans="7:178" x14ac:dyDescent="0.4">
      <c r="G4926" s="36"/>
      <c r="FV4926" s="24"/>
    </row>
    <row r="4927" spans="7:178" x14ac:dyDescent="0.4">
      <c r="G4927" s="36"/>
      <c r="FV4927" s="24"/>
    </row>
    <row r="4928" spans="7:178" x14ac:dyDescent="0.4">
      <c r="G4928" s="36"/>
      <c r="FV4928" s="24"/>
    </row>
    <row r="4929" spans="7:178" x14ac:dyDescent="0.4">
      <c r="G4929" s="36"/>
      <c r="FV4929" s="24"/>
    </row>
    <row r="4930" spans="7:178" x14ac:dyDescent="0.4">
      <c r="G4930" s="36"/>
      <c r="FV4930" s="24"/>
    </row>
    <row r="4931" spans="7:178" x14ac:dyDescent="0.4">
      <c r="G4931" s="36"/>
      <c r="FV4931" s="24"/>
    </row>
    <row r="4932" spans="7:178" x14ac:dyDescent="0.4">
      <c r="G4932" s="36"/>
      <c r="FV4932" s="24"/>
    </row>
    <row r="4933" spans="7:178" x14ac:dyDescent="0.4">
      <c r="G4933" s="36"/>
      <c r="FV4933" s="24"/>
    </row>
    <row r="4934" spans="7:178" x14ac:dyDescent="0.4">
      <c r="G4934" s="36"/>
      <c r="FV4934" s="24"/>
    </row>
    <row r="4935" spans="7:178" x14ac:dyDescent="0.4">
      <c r="G4935" s="36"/>
      <c r="FV4935" s="24"/>
    </row>
    <row r="4936" spans="7:178" x14ac:dyDescent="0.4">
      <c r="G4936" s="36"/>
      <c r="FV4936" s="24"/>
    </row>
    <row r="4937" spans="7:178" x14ac:dyDescent="0.4">
      <c r="G4937" s="36"/>
      <c r="FV4937" s="24"/>
    </row>
    <row r="4938" spans="7:178" x14ac:dyDescent="0.4">
      <c r="G4938" s="36"/>
      <c r="FV4938" s="24"/>
    </row>
    <row r="4939" spans="7:178" x14ac:dyDescent="0.4">
      <c r="G4939" s="36"/>
      <c r="FV4939" s="24"/>
    </row>
    <row r="4940" spans="7:178" x14ac:dyDescent="0.4">
      <c r="G4940" s="36"/>
      <c r="FV4940" s="24"/>
    </row>
    <row r="4941" spans="7:178" x14ac:dyDescent="0.4">
      <c r="G4941" s="36"/>
      <c r="FV4941" s="24"/>
    </row>
    <row r="4942" spans="7:178" x14ac:dyDescent="0.4">
      <c r="G4942" s="36"/>
      <c r="FV4942" s="24"/>
    </row>
    <row r="4943" spans="7:178" x14ac:dyDescent="0.4">
      <c r="G4943" s="36"/>
      <c r="FV4943" s="24"/>
    </row>
    <row r="4944" spans="7:178" x14ac:dyDescent="0.4">
      <c r="G4944" s="36"/>
      <c r="FV4944" s="24"/>
    </row>
    <row r="4945" spans="7:178" x14ac:dyDescent="0.4">
      <c r="G4945" s="36"/>
      <c r="FV4945" s="24"/>
    </row>
    <row r="4946" spans="7:178" x14ac:dyDescent="0.4">
      <c r="G4946" s="36"/>
      <c r="FV4946" s="24"/>
    </row>
    <row r="4947" spans="7:178" x14ac:dyDescent="0.4">
      <c r="G4947" s="36"/>
      <c r="FV4947" s="24"/>
    </row>
    <row r="4948" spans="7:178" x14ac:dyDescent="0.4">
      <c r="G4948" s="36"/>
      <c r="FV4948" s="24"/>
    </row>
    <row r="4949" spans="7:178" x14ac:dyDescent="0.4">
      <c r="G4949" s="36"/>
      <c r="FV4949" s="24"/>
    </row>
    <row r="4950" spans="7:178" x14ac:dyDescent="0.4">
      <c r="G4950" s="36"/>
      <c r="FV4950" s="24"/>
    </row>
    <row r="4951" spans="7:178" x14ac:dyDescent="0.4">
      <c r="G4951" s="36"/>
      <c r="FV4951" s="24"/>
    </row>
    <row r="4952" spans="7:178" x14ac:dyDescent="0.4">
      <c r="G4952" s="36"/>
      <c r="FV4952" s="24"/>
    </row>
    <row r="4953" spans="7:178" x14ac:dyDescent="0.4">
      <c r="G4953" s="36"/>
      <c r="FV4953" s="24"/>
    </row>
    <row r="4954" spans="7:178" x14ac:dyDescent="0.4">
      <c r="G4954" s="36"/>
      <c r="FV4954" s="24"/>
    </row>
    <row r="4955" spans="7:178" x14ac:dyDescent="0.4">
      <c r="G4955" s="36"/>
      <c r="FV4955" s="24"/>
    </row>
    <row r="4956" spans="7:178" x14ac:dyDescent="0.4">
      <c r="G4956" s="36"/>
      <c r="FV4956" s="24"/>
    </row>
    <row r="4957" spans="7:178" x14ac:dyDescent="0.4">
      <c r="G4957" s="36"/>
      <c r="FV4957" s="24"/>
    </row>
    <row r="4958" spans="7:178" x14ac:dyDescent="0.4">
      <c r="G4958" s="36"/>
      <c r="FV4958" s="24"/>
    </row>
    <row r="4959" spans="7:178" x14ac:dyDescent="0.4">
      <c r="G4959" s="36"/>
      <c r="FV4959" s="24"/>
    </row>
    <row r="4960" spans="7:178" x14ac:dyDescent="0.4">
      <c r="G4960" s="36"/>
      <c r="FV4960" s="24"/>
    </row>
    <row r="4961" spans="7:178" x14ac:dyDescent="0.4">
      <c r="G4961" s="36"/>
      <c r="FV4961" s="24"/>
    </row>
    <row r="4962" spans="7:178" x14ac:dyDescent="0.4">
      <c r="G4962" s="36"/>
      <c r="FV4962" s="24"/>
    </row>
    <row r="4963" spans="7:178" x14ac:dyDescent="0.4">
      <c r="G4963" s="36"/>
      <c r="FV4963" s="24"/>
    </row>
    <row r="4964" spans="7:178" x14ac:dyDescent="0.4">
      <c r="G4964" s="36"/>
      <c r="FV4964" s="24"/>
    </row>
    <row r="4965" spans="7:178" x14ac:dyDescent="0.4">
      <c r="G4965" s="36"/>
      <c r="FV4965" s="24"/>
    </row>
    <row r="4966" spans="7:178" x14ac:dyDescent="0.4">
      <c r="G4966" s="36"/>
      <c r="FV4966" s="24"/>
    </row>
    <row r="4967" spans="7:178" x14ac:dyDescent="0.4">
      <c r="G4967" s="36"/>
      <c r="FV4967" s="24"/>
    </row>
    <row r="4968" spans="7:178" x14ac:dyDescent="0.4">
      <c r="G4968" s="36"/>
      <c r="FV4968" s="24"/>
    </row>
    <row r="4969" spans="7:178" x14ac:dyDescent="0.4">
      <c r="G4969" s="36"/>
      <c r="FV4969" s="24"/>
    </row>
    <row r="4970" spans="7:178" x14ac:dyDescent="0.4">
      <c r="G4970" s="36"/>
      <c r="FV4970" s="24"/>
    </row>
    <row r="4971" spans="7:178" x14ac:dyDescent="0.4">
      <c r="G4971" s="36"/>
      <c r="FV4971" s="24"/>
    </row>
    <row r="4972" spans="7:178" x14ac:dyDescent="0.4">
      <c r="G4972" s="36"/>
      <c r="FV4972" s="24"/>
    </row>
    <row r="4973" spans="7:178" x14ac:dyDescent="0.4">
      <c r="G4973" s="36"/>
      <c r="FV4973" s="24"/>
    </row>
    <row r="4974" spans="7:178" x14ac:dyDescent="0.4">
      <c r="G4974" s="36"/>
      <c r="FV4974" s="24"/>
    </row>
    <row r="4975" spans="7:178" x14ac:dyDescent="0.4">
      <c r="G4975" s="36"/>
      <c r="FV4975" s="24"/>
    </row>
    <row r="4976" spans="7:178" x14ac:dyDescent="0.4">
      <c r="G4976" s="36"/>
      <c r="FV4976" s="24"/>
    </row>
    <row r="4977" spans="7:178" x14ac:dyDescent="0.4">
      <c r="G4977" s="36"/>
      <c r="FV4977" s="24"/>
    </row>
    <row r="4978" spans="7:178" x14ac:dyDescent="0.4">
      <c r="G4978" s="36"/>
      <c r="FV4978" s="24"/>
    </row>
    <row r="4979" spans="7:178" x14ac:dyDescent="0.4">
      <c r="G4979" s="36"/>
      <c r="FV4979" s="24"/>
    </row>
    <row r="4980" spans="7:178" x14ac:dyDescent="0.4">
      <c r="G4980" s="36"/>
      <c r="FV4980" s="24"/>
    </row>
    <row r="4981" spans="7:178" x14ac:dyDescent="0.4">
      <c r="G4981" s="36"/>
      <c r="FV4981" s="24"/>
    </row>
    <row r="4982" spans="7:178" x14ac:dyDescent="0.4">
      <c r="G4982" s="36"/>
      <c r="FV4982" s="24"/>
    </row>
    <row r="4983" spans="7:178" x14ac:dyDescent="0.4">
      <c r="G4983" s="36"/>
      <c r="FV4983" s="24"/>
    </row>
    <row r="4984" spans="7:178" x14ac:dyDescent="0.4">
      <c r="G4984" s="36"/>
      <c r="FV4984" s="24"/>
    </row>
    <row r="4985" spans="7:178" x14ac:dyDescent="0.4">
      <c r="G4985" s="36"/>
      <c r="FV4985" s="24"/>
    </row>
    <row r="4986" spans="7:178" x14ac:dyDescent="0.4">
      <c r="G4986" s="36"/>
      <c r="FV4986" s="24"/>
    </row>
    <row r="4987" spans="7:178" x14ac:dyDescent="0.4">
      <c r="G4987" s="36"/>
      <c r="FV4987" s="24"/>
    </row>
    <row r="4988" spans="7:178" x14ac:dyDescent="0.4">
      <c r="G4988" s="36"/>
      <c r="FV4988" s="24"/>
    </row>
    <row r="4989" spans="7:178" x14ac:dyDescent="0.4">
      <c r="G4989" s="36"/>
      <c r="FV4989" s="24"/>
    </row>
    <row r="4990" spans="7:178" x14ac:dyDescent="0.4">
      <c r="G4990" s="36"/>
      <c r="FV4990" s="24"/>
    </row>
    <row r="4991" spans="7:178" x14ac:dyDescent="0.4">
      <c r="G4991" s="36"/>
      <c r="FV4991" s="24"/>
    </row>
    <row r="4992" spans="7:178" x14ac:dyDescent="0.4">
      <c r="G4992" s="36"/>
      <c r="FV4992" s="24"/>
    </row>
    <row r="4993" spans="7:178" x14ac:dyDescent="0.4">
      <c r="G4993" s="36"/>
      <c r="FV4993" s="24"/>
    </row>
    <row r="4994" spans="7:178" x14ac:dyDescent="0.4">
      <c r="G4994" s="36"/>
      <c r="FV4994" s="24"/>
    </row>
    <row r="4995" spans="7:178" x14ac:dyDescent="0.4">
      <c r="G4995" s="36"/>
      <c r="FV4995" s="24"/>
    </row>
    <row r="4996" spans="7:178" x14ac:dyDescent="0.4">
      <c r="G4996" s="36"/>
      <c r="FV4996" s="24"/>
    </row>
    <row r="4997" spans="7:178" x14ac:dyDescent="0.4">
      <c r="G4997" s="36"/>
      <c r="FV4997" s="24"/>
    </row>
    <row r="4998" spans="7:178" x14ac:dyDescent="0.4">
      <c r="G4998" s="36"/>
      <c r="FV4998" s="24"/>
    </row>
    <row r="4999" spans="7:178" x14ac:dyDescent="0.4">
      <c r="G4999" s="36"/>
      <c r="FV4999" s="24"/>
    </row>
    <row r="5000" spans="7:178" x14ac:dyDescent="0.4">
      <c r="G5000" s="36"/>
      <c r="FV5000" s="24"/>
    </row>
    <row r="5001" spans="7:178" x14ac:dyDescent="0.4">
      <c r="G5001" s="36"/>
      <c r="FV5001" s="24"/>
    </row>
    <row r="5002" spans="7:178" x14ac:dyDescent="0.4">
      <c r="G5002" s="36"/>
      <c r="FV5002" s="24"/>
    </row>
    <row r="5003" spans="7:178" x14ac:dyDescent="0.4">
      <c r="G5003" s="36"/>
      <c r="FV5003" s="24"/>
    </row>
    <row r="5004" spans="7:178" x14ac:dyDescent="0.4">
      <c r="G5004" s="36"/>
      <c r="FV5004" s="24"/>
    </row>
    <row r="5005" spans="7:178" x14ac:dyDescent="0.4">
      <c r="G5005" s="36"/>
      <c r="FV5005" s="24"/>
    </row>
    <row r="5006" spans="7:178" x14ac:dyDescent="0.4">
      <c r="G5006" s="36"/>
      <c r="FV5006" s="24"/>
    </row>
    <row r="5007" spans="7:178" x14ac:dyDescent="0.4">
      <c r="G5007" s="36"/>
      <c r="FV5007" s="24"/>
    </row>
    <row r="5008" spans="7:178" x14ac:dyDescent="0.4">
      <c r="G5008" s="36"/>
      <c r="FV5008" s="24"/>
    </row>
    <row r="5009" spans="7:178" x14ac:dyDescent="0.4">
      <c r="G5009" s="36"/>
      <c r="FV5009" s="24"/>
    </row>
    <row r="5010" spans="7:178" x14ac:dyDescent="0.4">
      <c r="G5010" s="36"/>
      <c r="FV5010" s="24"/>
    </row>
    <row r="5011" spans="7:178" x14ac:dyDescent="0.4">
      <c r="G5011" s="36"/>
      <c r="FV5011" s="24"/>
    </row>
    <row r="5012" spans="7:178" x14ac:dyDescent="0.4">
      <c r="G5012" s="36"/>
      <c r="FV5012" s="24"/>
    </row>
    <row r="5013" spans="7:178" x14ac:dyDescent="0.4">
      <c r="G5013" s="36"/>
      <c r="FV5013" s="24"/>
    </row>
    <row r="5014" spans="7:178" x14ac:dyDescent="0.4">
      <c r="G5014" s="36"/>
      <c r="FV5014" s="24"/>
    </row>
    <row r="5015" spans="7:178" x14ac:dyDescent="0.4">
      <c r="G5015" s="36"/>
      <c r="FV5015" s="24"/>
    </row>
    <row r="5016" spans="7:178" x14ac:dyDescent="0.4">
      <c r="G5016" s="36"/>
      <c r="FV5016" s="24"/>
    </row>
    <row r="5017" spans="7:178" x14ac:dyDescent="0.4">
      <c r="G5017" s="36"/>
      <c r="FV5017" s="24"/>
    </row>
    <row r="5018" spans="7:178" x14ac:dyDescent="0.4">
      <c r="G5018" s="36"/>
      <c r="FV5018" s="24"/>
    </row>
    <row r="5019" spans="7:178" x14ac:dyDescent="0.4">
      <c r="G5019" s="36"/>
      <c r="FV5019" s="24"/>
    </row>
    <row r="5020" spans="7:178" x14ac:dyDescent="0.4">
      <c r="G5020" s="36"/>
      <c r="FV5020" s="24"/>
    </row>
    <row r="5021" spans="7:178" x14ac:dyDescent="0.4">
      <c r="G5021" s="36"/>
      <c r="FV5021" s="24"/>
    </row>
    <row r="5022" spans="7:178" x14ac:dyDescent="0.4">
      <c r="G5022" s="36"/>
      <c r="FV5022" s="24"/>
    </row>
    <row r="5023" spans="7:178" x14ac:dyDescent="0.4">
      <c r="G5023" s="36"/>
      <c r="FV5023" s="24"/>
    </row>
    <row r="5024" spans="7:178" x14ac:dyDescent="0.4">
      <c r="G5024" s="36"/>
      <c r="FV5024" s="24"/>
    </row>
    <row r="5025" spans="7:178" x14ac:dyDescent="0.4">
      <c r="G5025" s="36"/>
      <c r="FV5025" s="24"/>
    </row>
    <row r="5026" spans="7:178" x14ac:dyDescent="0.4">
      <c r="G5026" s="36"/>
      <c r="FV5026" s="24"/>
    </row>
    <row r="5027" spans="7:178" x14ac:dyDescent="0.4">
      <c r="G5027" s="36"/>
      <c r="FV5027" s="24"/>
    </row>
    <row r="5028" spans="7:178" x14ac:dyDescent="0.4">
      <c r="G5028" s="36"/>
      <c r="FV5028" s="24"/>
    </row>
    <row r="5029" spans="7:178" x14ac:dyDescent="0.4">
      <c r="G5029" s="36"/>
      <c r="FV5029" s="24"/>
    </row>
    <row r="5030" spans="7:178" x14ac:dyDescent="0.4">
      <c r="G5030" s="36"/>
      <c r="FV5030" s="24"/>
    </row>
    <row r="5031" spans="7:178" x14ac:dyDescent="0.4">
      <c r="G5031" s="36"/>
      <c r="FV5031" s="24"/>
    </row>
    <row r="5032" spans="7:178" x14ac:dyDescent="0.4">
      <c r="G5032" s="36"/>
      <c r="FV5032" s="24"/>
    </row>
    <row r="5033" spans="7:178" x14ac:dyDescent="0.4">
      <c r="G5033" s="36"/>
      <c r="FV5033" s="24"/>
    </row>
    <row r="5034" spans="7:178" x14ac:dyDescent="0.4">
      <c r="G5034" s="36"/>
      <c r="FV5034" s="24"/>
    </row>
    <row r="5035" spans="7:178" x14ac:dyDescent="0.4">
      <c r="G5035" s="36"/>
      <c r="FV5035" s="24"/>
    </row>
    <row r="5036" spans="7:178" x14ac:dyDescent="0.4">
      <c r="G5036" s="36"/>
      <c r="FV5036" s="24"/>
    </row>
    <row r="5037" spans="7:178" x14ac:dyDescent="0.4">
      <c r="G5037" s="36"/>
      <c r="FV5037" s="24"/>
    </row>
    <row r="5038" spans="7:178" x14ac:dyDescent="0.4">
      <c r="G5038" s="36"/>
      <c r="FV5038" s="24"/>
    </row>
    <row r="5039" spans="7:178" x14ac:dyDescent="0.4">
      <c r="G5039" s="36"/>
      <c r="FV5039" s="24"/>
    </row>
    <row r="5040" spans="7:178" x14ac:dyDescent="0.4">
      <c r="G5040" s="36"/>
      <c r="FV5040" s="24"/>
    </row>
    <row r="5041" spans="7:178" x14ac:dyDescent="0.4">
      <c r="G5041" s="36"/>
      <c r="FV5041" s="24"/>
    </row>
    <row r="5042" spans="7:178" x14ac:dyDescent="0.4">
      <c r="G5042" s="36"/>
      <c r="FV5042" s="24"/>
    </row>
    <row r="5043" spans="7:178" x14ac:dyDescent="0.4">
      <c r="G5043" s="36"/>
      <c r="FV5043" s="24"/>
    </row>
    <row r="5044" spans="7:178" x14ac:dyDescent="0.4">
      <c r="G5044" s="36"/>
      <c r="FV5044" s="24"/>
    </row>
    <row r="5045" spans="7:178" x14ac:dyDescent="0.4">
      <c r="G5045" s="36"/>
      <c r="FV5045" s="24"/>
    </row>
    <row r="6724" spans="48:123" x14ac:dyDescent="0.4">
      <c r="DS6724" s="31"/>
    </row>
    <row r="6725" spans="48:123" x14ac:dyDescent="0.4">
      <c r="AV6725" s="31"/>
      <c r="BF6725" s="31"/>
      <c r="BJ6725" s="31"/>
      <c r="DS6725" s="31"/>
    </row>
    <row r="6729" spans="48:123" x14ac:dyDescent="0.4">
      <c r="BX6729" s="31"/>
    </row>
    <row r="6731" spans="48:123" x14ac:dyDescent="0.4">
      <c r="DS6731" s="31"/>
    </row>
    <row r="6732" spans="48:123" x14ac:dyDescent="0.4">
      <c r="AV6732" s="31"/>
      <c r="BF6732" s="31"/>
      <c r="BJ6732" s="31"/>
      <c r="DS6732" s="31"/>
    </row>
    <row r="6736" spans="48:123" x14ac:dyDescent="0.4">
      <c r="BX6736" s="31"/>
    </row>
    <row r="9006" spans="140:140" x14ac:dyDescent="0.4">
      <c r="EJ9006" s="31"/>
    </row>
    <row r="10106" spans="137:137" x14ac:dyDescent="0.4">
      <c r="EG10106" s="31"/>
    </row>
    <row r="10120" spans="12:151" x14ac:dyDescent="0.4">
      <c r="EG10120" s="31"/>
    </row>
    <row r="10126" spans="12:151" x14ac:dyDescent="0.4">
      <c r="L10126" s="31"/>
      <c r="M10126" s="31"/>
      <c r="AE10126" s="31"/>
      <c r="AF10126" s="31"/>
      <c r="AR10126" s="31"/>
      <c r="AX10126" s="31"/>
      <c r="AZ10126" s="31"/>
      <c r="BA10126" s="31"/>
      <c r="BB10126" s="31"/>
      <c r="BQ10126" s="31"/>
      <c r="CY10126" s="31"/>
      <c r="CZ10126" s="31"/>
      <c r="DD10126" s="31"/>
      <c r="DE10126" s="31"/>
      <c r="DF10126" s="31"/>
      <c r="DG10126" s="31"/>
      <c r="DH10126" s="31"/>
      <c r="DW10126" s="31"/>
      <c r="DX10126" s="31"/>
      <c r="EB10126" s="31"/>
      <c r="EC10126" s="31"/>
      <c r="ED10126" s="31"/>
      <c r="EE10126" s="31"/>
      <c r="EF10126" s="31"/>
      <c r="EG10126" s="31"/>
      <c r="EH10126" s="31"/>
    </row>
    <row r="10127" spans="12:151" x14ac:dyDescent="0.4">
      <c r="T10127" s="31"/>
      <c r="AD10127" s="31"/>
      <c r="AT10127" s="31"/>
      <c r="AU10127" s="31"/>
      <c r="CS10127" s="31"/>
      <c r="CX10127" s="31"/>
      <c r="EE10127" s="31"/>
      <c r="EU10127" s="31"/>
    </row>
    <row r="10129" spans="12:155" x14ac:dyDescent="0.4">
      <c r="L10129" s="31"/>
      <c r="M10129" s="31"/>
      <c r="N10129" s="31"/>
      <c r="O10129" s="31"/>
      <c r="P10129" s="31"/>
      <c r="Q10129" s="31"/>
      <c r="R10129" s="31"/>
      <c r="AF10129" s="31"/>
      <c r="AJ10129" s="31"/>
      <c r="AK10129" s="31"/>
      <c r="AL10129" s="31"/>
      <c r="AM10129" s="31"/>
      <c r="AN10129" s="31"/>
      <c r="AO10129" s="31"/>
      <c r="AP10129" s="31"/>
      <c r="AQ10129" s="31"/>
      <c r="BA10129" s="31"/>
      <c r="BH10129" s="31"/>
      <c r="BI10129" s="31"/>
      <c r="BJ10129" s="31"/>
      <c r="BK10129" s="31"/>
      <c r="BL10129" s="31"/>
      <c r="BM10129" s="31"/>
      <c r="BN10129" s="31"/>
      <c r="BO10129" s="31"/>
      <c r="BX10129" s="31"/>
      <c r="CA10129" s="31"/>
      <c r="CB10129" s="31"/>
      <c r="CF10129" s="31"/>
      <c r="CG10129" s="31"/>
      <c r="CH10129" s="31"/>
      <c r="CI10129" s="31"/>
      <c r="CJ10129" s="31"/>
      <c r="CK10129" s="31"/>
      <c r="CL10129" s="31"/>
      <c r="CZ10129" s="31"/>
      <c r="DD10129" s="31"/>
      <c r="DE10129" s="31"/>
      <c r="DF10129" s="31"/>
      <c r="DG10129" s="31"/>
      <c r="DH10129" s="31"/>
      <c r="DI10129" s="31"/>
      <c r="DJ10129" s="31"/>
      <c r="DX10129" s="31"/>
      <c r="DY10129" s="31"/>
      <c r="DZ10129" s="31"/>
      <c r="EA10129" s="31"/>
      <c r="EW10129" s="31"/>
      <c r="EX10129" s="31"/>
      <c r="EY10129" s="31"/>
    </row>
    <row r="10131" spans="12:155" x14ac:dyDescent="0.4">
      <c r="L10131" s="31"/>
      <c r="M10131" s="31"/>
      <c r="N10131" s="31"/>
      <c r="AE10131" s="31"/>
      <c r="AF10131" s="31"/>
      <c r="BP10131" s="31"/>
      <c r="BX10131" s="31"/>
      <c r="BY10131" s="31"/>
      <c r="CY10131" s="31"/>
      <c r="DD10131" s="31"/>
      <c r="DE10131" s="31"/>
      <c r="DF10131" s="31"/>
      <c r="DG10131" s="31"/>
      <c r="DO10131" s="31"/>
      <c r="DW10131" s="31"/>
      <c r="DX10131" s="31"/>
      <c r="EB10131" s="31"/>
      <c r="EC10131" s="31"/>
      <c r="ED10131" s="31"/>
      <c r="EE10131" s="31"/>
      <c r="EG10131" s="31"/>
      <c r="EI10131" s="31"/>
      <c r="EV10131" s="31"/>
      <c r="EW10131" s="31"/>
      <c r="EX10131" s="31"/>
      <c r="EY10131" s="31"/>
    </row>
    <row r="10133" spans="12:155" x14ac:dyDescent="0.4">
      <c r="L10133" s="31"/>
      <c r="M10133" s="31"/>
      <c r="AE10133" s="31"/>
      <c r="AF10133" s="31"/>
      <c r="AR10133" s="31"/>
      <c r="AX10133" s="31"/>
      <c r="AZ10133" s="31"/>
      <c r="BA10133" s="31"/>
      <c r="BB10133" s="31"/>
      <c r="BQ10133" s="31"/>
      <c r="CY10133" s="31"/>
      <c r="CZ10133" s="31"/>
      <c r="DD10133" s="31"/>
      <c r="DE10133" s="31"/>
      <c r="DF10133" s="31"/>
      <c r="DG10133" s="31"/>
      <c r="DH10133" s="31"/>
      <c r="DW10133" s="31"/>
      <c r="DX10133" s="31"/>
      <c r="EB10133" s="31"/>
      <c r="EC10133" s="31"/>
      <c r="ED10133" s="31"/>
      <c r="EE10133" s="31"/>
      <c r="EF10133" s="31"/>
      <c r="EG10133" s="31"/>
      <c r="EH10133" s="31"/>
    </row>
    <row r="10134" spans="12:155" x14ac:dyDescent="0.4">
      <c r="T10134" s="31"/>
      <c r="AD10134" s="31"/>
      <c r="AT10134" s="31"/>
      <c r="AU10134" s="31"/>
      <c r="CS10134" s="31"/>
      <c r="CX10134" s="31"/>
      <c r="EE10134" s="31"/>
      <c r="EU10134" s="31"/>
    </row>
    <row r="10136" spans="12:155" x14ac:dyDescent="0.4">
      <c r="L10136" s="31"/>
      <c r="M10136" s="31"/>
      <c r="N10136" s="31"/>
      <c r="O10136" s="31"/>
      <c r="P10136" s="31"/>
      <c r="Q10136" s="31"/>
      <c r="R10136" s="31"/>
      <c r="AF10136" s="31"/>
      <c r="AJ10136" s="31"/>
      <c r="AK10136" s="31"/>
      <c r="AL10136" s="31"/>
      <c r="AM10136" s="31"/>
      <c r="AN10136" s="31"/>
      <c r="AO10136" s="31"/>
      <c r="AP10136" s="31"/>
      <c r="AQ10136" s="31"/>
      <c r="BA10136" s="31"/>
      <c r="BH10136" s="31"/>
      <c r="BI10136" s="31"/>
      <c r="BJ10136" s="31"/>
      <c r="BK10136" s="31"/>
      <c r="BL10136" s="31"/>
      <c r="BM10136" s="31"/>
      <c r="BN10136" s="31"/>
      <c r="BO10136" s="31"/>
      <c r="BX10136" s="31"/>
      <c r="CA10136" s="31"/>
      <c r="CB10136" s="31"/>
      <c r="CF10136" s="31"/>
      <c r="CG10136" s="31"/>
      <c r="CH10136" s="31"/>
      <c r="CI10136" s="31"/>
      <c r="CJ10136" s="31"/>
      <c r="CK10136" s="31"/>
      <c r="CL10136" s="31"/>
      <c r="CZ10136" s="31"/>
      <c r="DD10136" s="31"/>
      <c r="DE10136" s="31"/>
      <c r="DF10136" s="31"/>
      <c r="DG10136" s="31"/>
      <c r="DH10136" s="31"/>
      <c r="DI10136" s="31"/>
      <c r="DJ10136" s="31"/>
      <c r="DX10136" s="31"/>
      <c r="DY10136" s="31"/>
      <c r="DZ10136" s="31"/>
      <c r="EA10136" s="31"/>
      <c r="EW10136" s="31"/>
      <c r="EX10136" s="31"/>
      <c r="EY10136" s="31"/>
    </row>
    <row r="10138" spans="12:155" x14ac:dyDescent="0.4">
      <c r="L10138" s="31"/>
      <c r="M10138" s="31"/>
      <c r="N10138" s="31"/>
      <c r="AE10138" s="31"/>
      <c r="AF10138" s="31"/>
      <c r="BP10138" s="31"/>
      <c r="BX10138" s="31"/>
      <c r="BY10138" s="31"/>
      <c r="CY10138" s="31"/>
      <c r="DD10138" s="31"/>
      <c r="DE10138" s="31"/>
      <c r="DF10138" s="31"/>
      <c r="DG10138" s="31"/>
      <c r="DO10138" s="31"/>
      <c r="DW10138" s="31"/>
      <c r="DX10138" s="31"/>
      <c r="EB10138" s="31"/>
      <c r="EC10138" s="31"/>
      <c r="ED10138" s="31"/>
      <c r="EE10138" s="31"/>
      <c r="EG10138" s="31"/>
      <c r="EI10138" s="31"/>
      <c r="EV10138" s="31"/>
      <c r="EW10138" s="31"/>
      <c r="EX10138" s="31"/>
      <c r="EY10138" s="31"/>
    </row>
  </sheetData>
  <autoFilter ref="A1:FX73" xr:uid="{B75C12FF-4F2E-435A-A74A-B59819B6A146}"/>
  <phoneticPr fontId="2" type="noConversion"/>
  <conditionalFormatting sqref="H2:FX73">
    <cfRule type="expression" dxfId="10" priority="1">
      <formula>$FX2=0</formula>
    </cfRule>
  </conditionalFormatting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19</vt:i4>
      </vt:variant>
    </vt:vector>
  </HeadingPairs>
  <TitlesOfParts>
    <vt:vector size="22" baseType="lpstr">
      <vt:lpstr>Table</vt:lpstr>
      <vt:lpstr>Lookups</vt:lpstr>
      <vt:lpstr>Data</vt:lpstr>
      <vt:lpstr>Called</vt:lpstr>
      <vt:lpstr>Criteria</vt:lpstr>
      <vt:lpstr>Criteria_enrolled</vt:lpstr>
      <vt:lpstr>data</vt:lpstr>
      <vt:lpstr>date</vt:lpstr>
      <vt:lpstr>date_list</vt:lpstr>
      <vt:lpstr>dual_enrol_list</vt:lpstr>
      <vt:lpstr>Enrolled</vt:lpstr>
      <vt:lpstr>ind_list</vt:lpstr>
      <vt:lpstr>lca</vt:lpstr>
      <vt:lpstr>lca_list</vt:lpstr>
      <vt:lpstr>partial</vt:lpstr>
      <vt:lpstr>pass</vt:lpstr>
      <vt:lpstr>Table!Print_Area</vt:lpstr>
      <vt:lpstr>Result_type</vt:lpstr>
      <vt:lpstr>Result_type_list</vt:lpstr>
      <vt:lpstr>Size</vt:lpstr>
      <vt:lpstr>Size_list</vt:lpstr>
      <vt:lpstr>Two_way_tab_flag</vt:lpstr>
    </vt:vector>
  </TitlesOfParts>
  <Company>Christensen Associates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edmchugh</dc:creator>
  <cp:lastModifiedBy>Mike T. Clark</cp:lastModifiedBy>
  <cp:lastPrinted>2009-04-03T17:07:33Z</cp:lastPrinted>
  <dcterms:created xsi:type="dcterms:W3CDTF">2009-03-24T17:58:42Z</dcterms:created>
  <dcterms:modified xsi:type="dcterms:W3CDTF">2020-03-26T19:45:23Z</dcterms:modified>
</cp:coreProperties>
</file>