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tables/table1.xml" ContentType="application/vnd.openxmlformats-officedocument.spreadsheetml.table+xml"/>
  <Override PartName="/xl/pivotTables/pivotTable1.xml" ContentType="application/vnd.openxmlformats-officedocument.spreadsheetml.pivotTable+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workbookProtection workbookAlgorithmName="SHA-512" workbookHashValue="fz8wP/lP+PzqPcfM9IcA2iH7z8D7P8zmrjWuIItp/WoLyhco+KcnxsqTPWo8fJ44maaU1KdkyiafdliQhpqFSQ==" workbookSaltValue="8USi9leGVfcmEHiHxCqL5w==" workbookSpinCount="100000" lockStructure="1"/>
  <bookViews>
    <workbookView xWindow="3420" yWindow="0" windowWidth="28800" windowHeight="11520" tabRatio="884"/>
  </bookViews>
  <sheets>
    <sheet name="Summary View" sheetId="9" r:id="rId1"/>
    <sheet name="Additional Research" sheetId="24" r:id="rId2"/>
    <sheet name="Existing Program Data" sheetId="23" r:id="rId3"/>
    <sheet name="Measure Data" sheetId="21" r:id="rId4"/>
    <sheet name="Codes and Specs Data" sheetId="7" r:id="rId5"/>
    <sheet name="Measure Descriptions" sheetId="19" r:id="rId6"/>
    <sheet name="Source Info" sheetId="20" r:id="rId7"/>
    <sheet name="Intermediate Data" sheetId="11" state="hidden" r:id="rId8"/>
    <sheet name="codes and specs view figures" sheetId="14" state="hidden" r:id="rId9"/>
  </sheets>
  <definedNames>
    <definedName name="_xlnm._FilterDatabase" localSheetId="4" hidden="1">'Codes and Specs Data'!$A$2:$F$2</definedName>
    <definedName name="_xlnm._FilterDatabase" localSheetId="2" hidden="1">'Existing Program Data'!$A$2:$AE$2</definedName>
    <definedName name="_xlnm._FilterDatabase" localSheetId="7" hidden="1">'Intermediate Data'!$C$10:$S$27</definedName>
    <definedName name="_xlnm._FilterDatabase" localSheetId="3" hidden="1">'Measure Data'!$A$7:$EZ$7</definedName>
    <definedName name="CSA">'codes and specs view figures'!$A$1</definedName>
    <definedName name="CSB">'codes and specs view figures'!$A$2</definedName>
    <definedName name="CSC">'codes and specs view figures'!$A$3</definedName>
    <definedName name="CSChoose">CHOOSE('codes and specs view figures'!$B$5,CSA,CSB,CSC,CSD)</definedName>
    <definedName name="CSD">'codes and specs view figures'!$A$4</definedName>
    <definedName name="IOUList">'Intermediate Data'!$B$3:$B$7</definedName>
    <definedName name="IOUList2">'Intermediate Data'!$A$3:$A$6</definedName>
  </definedNames>
  <calcPr calcId="152511"/>
  <pivotCaches>
    <pivotCache cacheId="0" r:id="rId10"/>
  </pivotCaches>
</workbook>
</file>

<file path=xl/calcChain.xml><?xml version="1.0" encoding="utf-8"?>
<calcChain xmlns="http://schemas.openxmlformats.org/spreadsheetml/2006/main">
  <c r="DE6" i="21" l="1"/>
  <c r="D12" i="11"/>
  <c r="D11" i="11"/>
  <c r="C5" i="14" l="1"/>
  <c r="G121" i="11"/>
  <c r="N121" i="11" s="1"/>
  <c r="J37" i="11"/>
  <c r="H35" i="11"/>
  <c r="F35" i="11"/>
  <c r="D35" i="11"/>
  <c r="B35" i="11"/>
  <c r="A42" i="11" s="1"/>
  <c r="H34" i="11"/>
  <c r="F34" i="11"/>
  <c r="D34" i="11"/>
  <c r="B34" i="11"/>
  <c r="A41" i="11" s="1"/>
  <c r="H33" i="11"/>
  <c r="F33" i="11"/>
  <c r="D33" i="11"/>
  <c r="B33" i="11"/>
  <c r="A40" i="11" s="1"/>
  <c r="B27" i="11"/>
  <c r="C27" i="11" s="1"/>
  <c r="L20" i="9" s="1"/>
  <c r="B26" i="11"/>
  <c r="B25" i="11"/>
  <c r="B24" i="11"/>
  <c r="C24" i="11" s="1"/>
  <c r="L17" i="9" s="1"/>
  <c r="C23" i="11"/>
  <c r="L16" i="9" s="1"/>
  <c r="B23" i="11"/>
  <c r="B22" i="11"/>
  <c r="C22" i="11" s="1"/>
  <c r="L15" i="9" s="1"/>
  <c r="B21" i="11"/>
  <c r="B20" i="11"/>
  <c r="C20" i="11" s="1"/>
  <c r="L13" i="9" s="1"/>
  <c r="B19" i="11"/>
  <c r="C19" i="11" s="1"/>
  <c r="L12" i="9" s="1"/>
  <c r="B18" i="11"/>
  <c r="C18" i="11" s="1"/>
  <c r="L11" i="9" s="1"/>
  <c r="B17" i="11"/>
  <c r="B16" i="11"/>
  <c r="O12" i="11"/>
  <c r="H11" i="11"/>
  <c r="G11" i="11"/>
  <c r="F11" i="11"/>
  <c r="E11" i="11"/>
  <c r="D15" i="11"/>
  <c r="S8" i="9" s="1"/>
  <c r="E16" i="7"/>
  <c r="E15" i="7"/>
  <c r="E14" i="7"/>
  <c r="E13" i="7"/>
  <c r="E12" i="7"/>
  <c r="E7" i="7"/>
  <c r="E6" i="7"/>
  <c r="E5" i="7"/>
  <c r="E4" i="7"/>
  <c r="E3" i="7"/>
  <c r="DK19" i="21"/>
  <c r="DJ19" i="21"/>
  <c r="CM19" i="21"/>
  <c r="CL19" i="21"/>
  <c r="CK19" i="21"/>
  <c r="CJ19" i="21"/>
  <c r="CM18" i="21"/>
  <c r="CL18" i="21"/>
  <c r="CK18" i="21"/>
  <c r="CJ18" i="21"/>
  <c r="EZ17" i="21"/>
  <c r="DM17" i="21"/>
  <c r="DL17" i="21"/>
  <c r="DK17" i="21"/>
  <c r="DJ17" i="21"/>
  <c r="CM17" i="21"/>
  <c r="CL17" i="21"/>
  <c r="CK17" i="21"/>
  <c r="CJ17" i="21"/>
  <c r="EZ16" i="21"/>
  <c r="DM16" i="21"/>
  <c r="DL16" i="21"/>
  <c r="DK16" i="21"/>
  <c r="DJ16" i="21"/>
  <c r="CM16" i="21"/>
  <c r="CL16" i="21"/>
  <c r="CK16" i="21"/>
  <c r="CJ16" i="21"/>
  <c r="EZ15" i="21"/>
  <c r="CM15" i="21"/>
  <c r="CL15" i="21"/>
  <c r="CK15" i="21"/>
  <c r="CJ15" i="21"/>
  <c r="P15" i="21"/>
  <c r="EZ14" i="21"/>
  <c r="CM14" i="21"/>
  <c r="CL14" i="21"/>
  <c r="CK14" i="21"/>
  <c r="CJ14" i="21"/>
  <c r="EZ13" i="21"/>
  <c r="DM13" i="21"/>
  <c r="DL13" i="21"/>
  <c r="DK13" i="21"/>
  <c r="DJ13" i="21"/>
  <c r="CM13" i="21"/>
  <c r="CL13" i="21"/>
  <c r="CK13" i="21"/>
  <c r="CJ13" i="21"/>
  <c r="CE13" i="21"/>
  <c r="CD13" i="21"/>
  <c r="CC13" i="21"/>
  <c r="CB13" i="21"/>
  <c r="DM12" i="21"/>
  <c r="DL12" i="21"/>
  <c r="DK12" i="21"/>
  <c r="DJ12" i="21"/>
  <c r="CM12" i="21"/>
  <c r="CL12" i="21"/>
  <c r="CK12" i="21"/>
  <c r="CJ12" i="21"/>
  <c r="CE12" i="21"/>
  <c r="CD12" i="21"/>
  <c r="CC12" i="21"/>
  <c r="CB12" i="21"/>
  <c r="CM11" i="21"/>
  <c r="CL11" i="21"/>
  <c r="CK11" i="21"/>
  <c r="CJ11" i="21"/>
  <c r="CM10" i="21"/>
  <c r="CL10" i="21"/>
  <c r="CK10" i="21"/>
  <c r="CJ10" i="21"/>
  <c r="EZ9" i="21"/>
  <c r="DY9" i="21"/>
  <c r="DM9" i="21"/>
  <c r="DL9" i="21"/>
  <c r="DK9" i="21"/>
  <c r="DJ9" i="21"/>
  <c r="CM9" i="21"/>
  <c r="CL9" i="21"/>
  <c r="CK9" i="21"/>
  <c r="CJ9" i="21"/>
  <c r="CE9" i="21"/>
  <c r="CD9" i="21"/>
  <c r="CC9" i="21"/>
  <c r="CB9" i="21"/>
  <c r="AI9" i="21"/>
  <c r="DM8" i="21"/>
  <c r="DL8" i="21"/>
  <c r="DK8" i="21"/>
  <c r="DJ8" i="21"/>
  <c r="CM8" i="21"/>
  <c r="CL8" i="21"/>
  <c r="CK8" i="21"/>
  <c r="CJ8" i="21"/>
  <c r="CE8" i="21"/>
  <c r="CD8" i="21"/>
  <c r="CC8" i="21"/>
  <c r="CB8" i="21"/>
  <c r="EZ6" i="21"/>
  <c r="H12" i="11" s="1"/>
  <c r="EY6" i="21"/>
  <c r="EX6" i="21"/>
  <c r="I37" i="11" s="1"/>
  <c r="EW6" i="21"/>
  <c r="EV6" i="21"/>
  <c r="EU6" i="21"/>
  <c r="ET6" i="21"/>
  <c r="ES6" i="21"/>
  <c r="L37" i="11" s="1"/>
  <c r="ER6" i="21"/>
  <c r="EQ6" i="21"/>
  <c r="EP6" i="21"/>
  <c r="EO6" i="21"/>
  <c r="EN6" i="21"/>
  <c r="EM6" i="21"/>
  <c r="EL6" i="21"/>
  <c r="O16" i="11" s="1"/>
  <c r="EJ6" i="21"/>
  <c r="EI6" i="21"/>
  <c r="EH6" i="21"/>
  <c r="EG6" i="21"/>
  <c r="EF6" i="21"/>
  <c r="EE6" i="21"/>
  <c r="ED6" i="21"/>
  <c r="H37" i="11" s="1"/>
  <c r="EC6" i="21"/>
  <c r="G37" i="11" s="1"/>
  <c r="EB6" i="21"/>
  <c r="EA6" i="21"/>
  <c r="DZ6" i="21"/>
  <c r="DY6" i="21"/>
  <c r="DX6" i="21"/>
  <c r="DW6" i="21"/>
  <c r="G12" i="11" s="1"/>
  <c r="G27" i="11" s="1"/>
  <c r="AB20" i="9" s="1"/>
  <c r="DV6" i="21"/>
  <c r="DU6" i="21"/>
  <c r="DT6" i="21"/>
  <c r="DS6" i="21"/>
  <c r="DR6" i="21"/>
  <c r="DQ6" i="21"/>
  <c r="DP6" i="21"/>
  <c r="O15" i="11" s="1"/>
  <c r="DO6" i="21"/>
  <c r="DN6" i="21"/>
  <c r="DM6" i="21"/>
  <c r="DL6" i="21"/>
  <c r="DK6" i="21"/>
  <c r="E12" i="11" s="1"/>
  <c r="DJ6" i="21"/>
  <c r="DI6" i="21"/>
  <c r="DH6" i="21"/>
  <c r="DG6" i="21"/>
  <c r="DF6" i="21"/>
  <c r="O14" i="11" s="1"/>
  <c r="DD6" i="21"/>
  <c r="DC6" i="21"/>
  <c r="DB6" i="21"/>
  <c r="DA6" i="21"/>
  <c r="CZ6" i="21"/>
  <c r="CY6" i="21"/>
  <c r="CX6" i="21"/>
  <c r="CW6" i="21"/>
  <c r="O13" i="11" s="1"/>
  <c r="CV6" i="21"/>
  <c r="CU6" i="21"/>
  <c r="CT6" i="21"/>
  <c r="CS6" i="21"/>
  <c r="CR6" i="21"/>
  <c r="CQ6" i="21"/>
  <c r="CP6" i="21"/>
  <c r="CO6" i="21"/>
  <c r="CN6" i="21"/>
  <c r="CM6" i="21"/>
  <c r="F12" i="11" s="1"/>
  <c r="CL6" i="21"/>
  <c r="CK6" i="21"/>
  <c r="CJ6" i="21"/>
  <c r="CI6" i="21"/>
  <c r="CH6" i="21"/>
  <c r="CG6" i="21"/>
  <c r="CF6" i="21"/>
  <c r="CE6" i="21"/>
  <c r="CD6" i="21"/>
  <c r="CC6" i="21"/>
  <c r="CB6" i="21"/>
  <c r="CA6" i="21"/>
  <c r="BZ6" i="21"/>
  <c r="BY6" i="21"/>
  <c r="BX6" i="21"/>
  <c r="BW6" i="21"/>
  <c r="BV6" i="21"/>
  <c r="BU6" i="21"/>
  <c r="BT6" i="21"/>
  <c r="BS6" i="21"/>
  <c r="BR6" i="21"/>
  <c r="BQ6" i="21"/>
  <c r="BP6" i="21"/>
  <c r="BO6" i="21"/>
  <c r="BN6" i="21"/>
  <c r="BM6" i="21"/>
  <c r="BL6" i="21"/>
  <c r="BK6" i="21"/>
  <c r="BJ6" i="21"/>
  <c r="BI6" i="21"/>
  <c r="BH6" i="21"/>
  <c r="BG6" i="21"/>
  <c r="BF6" i="21"/>
  <c r="BE6" i="21"/>
  <c r="BD6" i="21"/>
  <c r="BC6" i="21"/>
  <c r="BB6" i="21"/>
  <c r="BA6" i="21"/>
  <c r="AZ6" i="21"/>
  <c r="AY6" i="21"/>
  <c r="AX6" i="21"/>
  <c r="AW6" i="21"/>
  <c r="AV6" i="21"/>
  <c r="AU6" i="21"/>
  <c r="AT6" i="21"/>
  <c r="AS6" i="21"/>
  <c r="AR6" i="21"/>
  <c r="AQ6" i="21"/>
  <c r="AP6" i="21"/>
  <c r="AO6" i="21"/>
  <c r="AN6" i="21"/>
  <c r="AM6" i="21"/>
  <c r="AL6" i="21"/>
  <c r="AK6" i="21"/>
  <c r="AJ6" i="21"/>
  <c r="AI6" i="21"/>
  <c r="AH6" i="21"/>
  <c r="AG6" i="21"/>
  <c r="AE6" i="21"/>
  <c r="AD6" i="21"/>
  <c r="AC6" i="21"/>
  <c r="AB6" i="21"/>
  <c r="AA6" i="21"/>
  <c r="Z6" i="21"/>
  <c r="Y6" i="21"/>
  <c r="X6" i="21"/>
  <c r="W6" i="21"/>
  <c r="V6" i="21"/>
  <c r="U6" i="21"/>
  <c r="T6" i="21"/>
  <c r="E37" i="11" s="1"/>
  <c r="S6" i="21"/>
  <c r="R6" i="21"/>
  <c r="Q6" i="21"/>
  <c r="P6" i="21"/>
  <c r="O6" i="21"/>
  <c r="N6" i="21"/>
  <c r="C37" i="11" s="1"/>
  <c r="M6" i="21"/>
  <c r="K37" i="11" s="1"/>
  <c r="L6" i="21"/>
  <c r="K6" i="21"/>
  <c r="J6" i="21"/>
  <c r="I6" i="21"/>
  <c r="H6" i="21"/>
  <c r="O11" i="11" s="1"/>
  <c r="G6" i="21"/>
  <c r="F6" i="21"/>
  <c r="E6" i="21"/>
  <c r="D6" i="21"/>
  <c r="C6" i="21"/>
  <c r="B6" i="21"/>
  <c r="A6" i="21"/>
  <c r="D81" i="23"/>
  <c r="D80" i="23"/>
  <c r="D79" i="23"/>
  <c r="D78" i="23"/>
  <c r="D77" i="23"/>
  <c r="D76" i="23"/>
  <c r="D75" i="23"/>
  <c r="D74" i="23"/>
  <c r="D73" i="23"/>
  <c r="D72" i="23"/>
  <c r="D71" i="23"/>
  <c r="D70" i="23"/>
  <c r="D69" i="23"/>
  <c r="D68" i="23"/>
  <c r="D67" i="23"/>
  <c r="D66" i="23"/>
  <c r="D65" i="23"/>
  <c r="D64" i="23"/>
  <c r="D63" i="23"/>
  <c r="D62" i="23"/>
  <c r="D61" i="23"/>
  <c r="D60" i="23"/>
  <c r="D59" i="23"/>
  <c r="D58" i="23"/>
  <c r="D57" i="23"/>
  <c r="D56" i="23"/>
  <c r="D55" i="23"/>
  <c r="D54" i="23"/>
  <c r="D53" i="23"/>
  <c r="D52" i="23"/>
  <c r="D51" i="23"/>
  <c r="D50" i="23"/>
  <c r="D49" i="23"/>
  <c r="D48" i="23"/>
  <c r="D47" i="23"/>
  <c r="D46" i="23"/>
  <c r="D45" i="23"/>
  <c r="D44" i="23"/>
  <c r="D43" i="23"/>
  <c r="D42" i="23"/>
  <c r="D41" i="23"/>
  <c r="D40" i="23"/>
  <c r="D39" i="23"/>
  <c r="D38" i="23"/>
  <c r="D37" i="23"/>
  <c r="D36" i="23"/>
  <c r="D35" i="23"/>
  <c r="D34" i="23"/>
  <c r="D33" i="23"/>
  <c r="D32" i="23"/>
  <c r="D31" i="23"/>
  <c r="D30" i="23"/>
  <c r="D29" i="23"/>
  <c r="D28" i="23"/>
  <c r="D27" i="23"/>
  <c r="D26" i="23"/>
  <c r="D25" i="23"/>
  <c r="D24" i="23"/>
  <c r="D23" i="23"/>
  <c r="D22" i="23"/>
  <c r="D21" i="23"/>
  <c r="D20" i="23"/>
  <c r="D19" i="23"/>
  <c r="D18" i="23"/>
  <c r="D17" i="23"/>
  <c r="D16" i="23"/>
  <c r="D15" i="23"/>
  <c r="D14" i="23"/>
  <c r="D13" i="23"/>
  <c r="D12" i="23"/>
  <c r="D11" i="23"/>
  <c r="D10" i="23"/>
  <c r="D9" i="23"/>
  <c r="D8" i="23"/>
  <c r="D7" i="23"/>
  <c r="D6" i="23"/>
  <c r="D5" i="23"/>
  <c r="D4" i="23"/>
  <c r="D3" i="23"/>
  <c r="D37" i="24"/>
  <c r="C37" i="24"/>
  <c r="B37" i="24"/>
  <c r="D36" i="24"/>
  <c r="B36" i="24"/>
  <c r="D35" i="24"/>
  <c r="C35" i="24"/>
  <c r="B35" i="24"/>
  <c r="D34" i="24"/>
  <c r="C34" i="24"/>
  <c r="B34" i="24"/>
  <c r="D33" i="24"/>
  <c r="C33" i="24"/>
  <c r="B33" i="24"/>
  <c r="D32" i="24"/>
  <c r="C32" i="24"/>
  <c r="B32" i="24"/>
  <c r="AC56" i="9"/>
  <c r="Z56" i="9"/>
  <c r="X56" i="9"/>
  <c r="R56" i="9"/>
  <c r="AC55" i="9"/>
  <c r="Z55" i="9"/>
  <c r="X55" i="9"/>
  <c r="R55" i="9"/>
  <c r="AC54" i="9"/>
  <c r="Z54" i="9"/>
  <c r="X54" i="9"/>
  <c r="R54" i="9"/>
  <c r="P37" i="9"/>
  <c r="M32" i="9"/>
  <c r="I32" i="9"/>
  <c r="G32" i="9"/>
  <c r="K31" i="9"/>
  <c r="G31" i="9"/>
  <c r="M25" i="9"/>
  <c r="K25" i="9"/>
  <c r="I25" i="9"/>
  <c r="G25" i="9"/>
  <c r="K24" i="9"/>
  <c r="G24" i="9"/>
  <c r="AE7" i="9"/>
  <c r="AB7" i="9"/>
  <c r="Y7" i="9"/>
  <c r="V7" i="9"/>
  <c r="AB6" i="9"/>
  <c r="Y6" i="9"/>
  <c r="B11" i="9"/>
  <c r="B16" i="9"/>
  <c r="B13" i="9"/>
  <c r="B12" i="9"/>
  <c r="B15" i="9"/>
  <c r="M37" i="9"/>
  <c r="J30" i="9"/>
  <c r="B14" i="9"/>
  <c r="B10" i="9"/>
  <c r="N30" i="9"/>
  <c r="B9" i="9"/>
  <c r="L37" i="9"/>
  <c r="H30" i="9"/>
  <c r="H37" i="9"/>
  <c r="L42" i="11" l="1"/>
  <c r="M29" i="9" s="1"/>
  <c r="G26" i="11"/>
  <c r="AB19" i="9" s="1"/>
  <c r="H121" i="11"/>
  <c r="I121" i="11" s="1"/>
  <c r="J121" i="11" s="1"/>
  <c r="L41" i="11"/>
  <c r="M28" i="9" s="1"/>
  <c r="L121" i="11"/>
  <c r="M121" i="11" s="1"/>
  <c r="D19" i="11"/>
  <c r="S12" i="9" s="1"/>
  <c r="C42" i="11"/>
  <c r="G29" i="9" s="1"/>
  <c r="C40" i="11"/>
  <c r="G27" i="9" s="1"/>
  <c r="B41" i="11"/>
  <c r="B28" i="9" s="1"/>
  <c r="J41" i="11"/>
  <c r="N35" i="9" s="1"/>
  <c r="B40" i="11"/>
  <c r="B42" i="11"/>
  <c r="G40" i="11"/>
  <c r="K34" i="9" s="1"/>
  <c r="G41" i="11"/>
  <c r="K35" i="9" s="1"/>
  <c r="G42" i="11"/>
  <c r="K36" i="9" s="1"/>
  <c r="K42" i="11"/>
  <c r="K29" i="9" s="1"/>
  <c r="K40" i="11"/>
  <c r="K27" i="9" s="1"/>
  <c r="K41" i="11"/>
  <c r="K28" i="9" s="1"/>
  <c r="E13" i="11"/>
  <c r="V5" i="9" s="1"/>
  <c r="E20" i="11"/>
  <c r="V13" i="9" s="1"/>
  <c r="E16" i="11"/>
  <c r="V9" i="9" s="1"/>
  <c r="E24" i="11"/>
  <c r="V17" i="9" s="1"/>
  <c r="E17" i="11"/>
  <c r="V10" i="9" s="1"/>
  <c r="E14" i="11"/>
  <c r="V6" i="9" s="1"/>
  <c r="H19" i="11"/>
  <c r="AE12" i="9" s="1"/>
  <c r="H14" i="11"/>
  <c r="AE6" i="9" s="1"/>
  <c r="H27" i="11"/>
  <c r="AE20" i="9" s="1"/>
  <c r="H23" i="11"/>
  <c r="AE16" i="9" s="1"/>
  <c r="H20" i="11"/>
  <c r="AE13" i="9" s="1"/>
  <c r="H13" i="11"/>
  <c r="AE5" i="9" s="1"/>
  <c r="H24" i="11"/>
  <c r="AE17" i="9" s="1"/>
  <c r="F13" i="11"/>
  <c r="Y5" i="9" s="1"/>
  <c r="F22" i="11"/>
  <c r="Y15" i="9" s="1"/>
  <c r="F17" i="11"/>
  <c r="Y10" i="9" s="1"/>
  <c r="F16" i="11"/>
  <c r="Y9" i="9" s="1"/>
  <c r="F18" i="11"/>
  <c r="Y11" i="9" s="1"/>
  <c r="F25" i="11"/>
  <c r="Y18" i="9" s="1"/>
  <c r="D14" i="11"/>
  <c r="E27" i="11"/>
  <c r="V20" i="9" s="1"/>
  <c r="G16" i="11"/>
  <c r="AB9" i="9" s="1"/>
  <c r="C16" i="11"/>
  <c r="L9" i="9" s="1"/>
  <c r="H16" i="11"/>
  <c r="AE9" i="9" s="1"/>
  <c r="G17" i="11"/>
  <c r="AB10" i="9" s="1"/>
  <c r="C17" i="11"/>
  <c r="L10" i="9" s="1"/>
  <c r="H17" i="11"/>
  <c r="AE10" i="9" s="1"/>
  <c r="F20" i="11"/>
  <c r="Y13" i="9" s="1"/>
  <c r="H22" i="11"/>
  <c r="AE15" i="9" s="1"/>
  <c r="E22" i="11"/>
  <c r="V15" i="9" s="1"/>
  <c r="E23" i="11"/>
  <c r="V16" i="9" s="1"/>
  <c r="J40" i="11"/>
  <c r="N34" i="9" s="1"/>
  <c r="C41" i="11"/>
  <c r="G28" i="9" s="1"/>
  <c r="G21" i="11"/>
  <c r="AB14" i="9" s="1"/>
  <c r="C21" i="11"/>
  <c r="L14" i="9" s="1"/>
  <c r="H21" i="11"/>
  <c r="AE14" i="9" s="1"/>
  <c r="F24" i="11"/>
  <c r="Y17" i="9" s="1"/>
  <c r="H26" i="11"/>
  <c r="AE19" i="9" s="1"/>
  <c r="E26" i="11"/>
  <c r="V19" i="9" s="1"/>
  <c r="G24" i="11"/>
  <c r="AB17" i="9" s="1"/>
  <c r="G20" i="11"/>
  <c r="AB13" i="9" s="1"/>
  <c r="G18" i="11"/>
  <c r="AB11" i="9" s="1"/>
  <c r="G19" i="11"/>
  <c r="AB12" i="9" s="1"/>
  <c r="E21" i="11"/>
  <c r="V14" i="9" s="1"/>
  <c r="G25" i="11"/>
  <c r="AB18" i="9" s="1"/>
  <c r="C25" i="11"/>
  <c r="L18" i="9" s="1"/>
  <c r="H25" i="11"/>
  <c r="AE18" i="9" s="1"/>
  <c r="C26" i="11"/>
  <c r="L19" i="9" s="1"/>
  <c r="J42" i="11"/>
  <c r="N36" i="9" s="1"/>
  <c r="B30" i="24"/>
  <c r="G13" i="11"/>
  <c r="AB5" i="9" s="1"/>
  <c r="H18" i="11"/>
  <c r="AE11" i="9" s="1"/>
  <c r="E18" i="11"/>
  <c r="V11" i="9" s="1"/>
  <c r="E19" i="11"/>
  <c r="V12" i="9" s="1"/>
  <c r="F21" i="11"/>
  <c r="Y14" i="9" s="1"/>
  <c r="G22" i="11"/>
  <c r="AB15" i="9" s="1"/>
  <c r="G23" i="11"/>
  <c r="AB16" i="9" s="1"/>
  <c r="E25" i="11"/>
  <c r="V18" i="9" s="1"/>
  <c r="F26" i="11"/>
  <c r="Y19" i="9" s="1"/>
  <c r="F37" i="11"/>
  <c r="L40" i="11"/>
  <c r="M27" i="9" s="1"/>
  <c r="F19" i="11"/>
  <c r="Y12" i="9" s="1"/>
  <c r="F23" i="11"/>
  <c r="Y16" i="9" s="1"/>
  <c r="F27" i="11"/>
  <c r="Y20" i="9" s="1"/>
  <c r="E40" i="11"/>
  <c r="G34" i="9" s="1"/>
  <c r="I40" i="11"/>
  <c r="M34" i="9" s="1"/>
  <c r="E41" i="11"/>
  <c r="G35" i="9" s="1"/>
  <c r="I41" i="11"/>
  <c r="M35" i="9" s="1"/>
  <c r="E42" i="11"/>
  <c r="G36" i="9" s="1"/>
  <c r="I42" i="11"/>
  <c r="M36" i="9" s="1"/>
  <c r="K121" i="11"/>
  <c r="G122" i="11"/>
  <c r="D40" i="11"/>
  <c r="I27" i="9" s="1"/>
  <c r="H40" i="11"/>
  <c r="L34" i="9" s="1"/>
  <c r="D41" i="11"/>
  <c r="I28" i="9" s="1"/>
  <c r="H41" i="11"/>
  <c r="L35" i="9" s="1"/>
  <c r="D42" i="11"/>
  <c r="I29" i="9" s="1"/>
  <c r="H42" i="11"/>
  <c r="L36" i="9" s="1"/>
  <c r="AA21" i="9"/>
  <c r="X21" i="9"/>
  <c r="AD21" i="9"/>
  <c r="AG21" i="9"/>
  <c r="N37" i="9"/>
  <c r="U21" i="9"/>
  <c r="K37" i="9"/>
  <c r="L30" i="9"/>
  <c r="D13" i="11" l="1"/>
  <c r="D26" i="11"/>
  <c r="S19" i="9" s="1"/>
  <c r="D27" i="11"/>
  <c r="S20" i="9" s="1"/>
  <c r="D18" i="11"/>
  <c r="S11" i="9" s="1"/>
  <c r="D20" i="11"/>
  <c r="S13" i="9" s="1"/>
  <c r="D17" i="11"/>
  <c r="S10" i="9" s="1"/>
  <c r="D16" i="11"/>
  <c r="S9" i="9" s="1"/>
  <c r="D24" i="11"/>
  <c r="S17" i="9" s="1"/>
  <c r="D25" i="11"/>
  <c r="S18" i="9" s="1"/>
  <c r="D23" i="11"/>
  <c r="S16" i="9" s="1"/>
  <c r="D21" i="11"/>
  <c r="S14" i="9" s="1"/>
  <c r="D22" i="11"/>
  <c r="S15" i="9" s="1"/>
  <c r="B35" i="9"/>
  <c r="B36" i="9"/>
  <c r="B29" i="9"/>
  <c r="B34" i="9"/>
  <c r="B27" i="9"/>
  <c r="N122" i="11"/>
  <c r="G123" i="11"/>
  <c r="K122" i="11"/>
  <c r="L122" i="11"/>
  <c r="M122" i="11" s="1"/>
  <c r="H122" i="11"/>
  <c r="I122" i="11" s="1"/>
  <c r="J122" i="11" s="1"/>
  <c r="F40" i="11"/>
  <c r="I34" i="9" s="1"/>
  <c r="F41" i="11"/>
  <c r="I35" i="9" s="1"/>
  <c r="F42" i="11"/>
  <c r="I36" i="9" s="1"/>
  <c r="J37" i="9"/>
  <c r="N123" i="11" l="1"/>
  <c r="G124" i="11"/>
  <c r="K123" i="11"/>
  <c r="L123" i="11"/>
  <c r="M123" i="11" s="1"/>
  <c r="H123" i="11"/>
  <c r="I123" i="11" s="1"/>
  <c r="J123" i="11" s="1"/>
  <c r="N124" i="11" l="1"/>
  <c r="G125" i="11"/>
  <c r="K124" i="11"/>
  <c r="L124" i="11"/>
  <c r="M124" i="11" s="1"/>
  <c r="H124" i="11"/>
  <c r="I124" i="11" s="1"/>
  <c r="J124" i="11" s="1"/>
  <c r="N125" i="11" l="1"/>
  <c r="G126" i="11"/>
  <c r="K125" i="11"/>
  <c r="L125" i="11"/>
  <c r="M125" i="11" s="1"/>
  <c r="H125" i="11"/>
  <c r="I125" i="11" s="1"/>
  <c r="J125" i="11" s="1"/>
  <c r="N126" i="11" l="1"/>
  <c r="G127" i="11"/>
  <c r="K126" i="11"/>
  <c r="L126" i="11"/>
  <c r="M126" i="11" s="1"/>
  <c r="H126" i="11"/>
  <c r="I126" i="11" s="1"/>
  <c r="J126" i="11" s="1"/>
  <c r="N127" i="11" l="1"/>
  <c r="G128" i="11"/>
  <c r="K127" i="11"/>
  <c r="L127" i="11"/>
  <c r="M127" i="11" s="1"/>
  <c r="H127" i="11"/>
  <c r="I127" i="11" s="1"/>
  <c r="J127" i="11" s="1"/>
  <c r="N128" i="11" l="1"/>
  <c r="G129" i="11"/>
  <c r="K128" i="11"/>
  <c r="L128" i="11"/>
  <c r="M128" i="11" s="1"/>
  <c r="H128" i="11"/>
  <c r="I128" i="11" s="1"/>
  <c r="J128" i="11" s="1"/>
  <c r="G130" i="11" l="1"/>
  <c r="K129" i="11"/>
  <c r="L129" i="11"/>
  <c r="H129" i="11"/>
  <c r="I129" i="11" s="1"/>
  <c r="J129" i="11" s="1"/>
  <c r="M129" i="11"/>
  <c r="K130" i="11" l="1"/>
  <c r="L130" i="11"/>
  <c r="H130" i="11"/>
  <c r="I130" i="11" s="1"/>
  <c r="J130" i="11" s="1"/>
  <c r="M130" i="11"/>
  <c r="G131" i="11"/>
  <c r="L131" i="11" l="1"/>
  <c r="H131" i="11"/>
  <c r="I131" i="11" s="1"/>
  <c r="J131" i="11" s="1"/>
  <c r="M131" i="11"/>
  <c r="G132" i="11"/>
  <c r="K131" i="11"/>
  <c r="M132" i="11" l="1"/>
  <c r="G133" i="11"/>
  <c r="L132" i="11"/>
  <c r="H132" i="11"/>
  <c r="I132" i="11" s="1"/>
  <c r="J132" i="11" s="1"/>
  <c r="K132" i="11"/>
  <c r="K133" i="11" l="1"/>
  <c r="H133" i="11"/>
  <c r="I133" i="11" s="1"/>
  <c r="J133" i="11" s="1"/>
  <c r="M133" i="11"/>
  <c r="L133" i="11"/>
</calcChain>
</file>

<file path=xl/comments1.xml><?xml version="1.0" encoding="utf-8"?>
<comments xmlns="http://schemas.openxmlformats.org/spreadsheetml/2006/main">
  <authors>
    <author>Author</author>
  </authors>
  <commentList>
    <comment ref="AH5" authorId="0" shapeId="0">
      <text>
        <r>
          <rPr>
            <sz val="9"/>
            <color indexed="81"/>
            <rFont val="Tahoma"/>
            <family val="2"/>
          </rPr>
          <t>This cell controls the appearance of missing data on this summary tab. Type a space for blank cells.</t>
        </r>
      </text>
    </comment>
  </commentList>
</comments>
</file>

<file path=xl/comments2.xml><?xml version="1.0" encoding="utf-8"?>
<comments xmlns="http://schemas.openxmlformats.org/spreadsheetml/2006/main">
  <authors>
    <author>Author</author>
  </authors>
  <commentList>
    <comment ref="A4" authorId="0" shapeId="0">
      <text>
        <r>
          <rPr>
            <b/>
            <sz val="9"/>
            <color indexed="81"/>
            <rFont val="Tahoma"/>
            <family val="2"/>
          </rPr>
          <t>Author:</t>
        </r>
        <r>
          <rPr>
            <sz val="9"/>
            <color indexed="81"/>
            <rFont val="Tahoma"/>
            <family val="2"/>
          </rPr>
          <t xml:space="preserve">
10024</t>
        </r>
      </text>
    </comment>
  </commentList>
</comments>
</file>

<file path=xl/sharedStrings.xml><?xml version="1.0" encoding="utf-8"?>
<sst xmlns="http://schemas.openxmlformats.org/spreadsheetml/2006/main" count="1843" uniqueCount="737">
  <si>
    <t>Measure</t>
  </si>
  <si>
    <t>Code</t>
  </si>
  <si>
    <t>Lifecycle</t>
  </si>
  <si>
    <t>Requirement</t>
  </si>
  <si>
    <t>Effective Date</t>
  </si>
  <si>
    <t>Gas</t>
  </si>
  <si>
    <t>Electric</t>
  </si>
  <si>
    <t>Fuel</t>
  </si>
  <si>
    <t xml:space="preserve"> </t>
  </si>
  <si>
    <t>Row Labels</t>
  </si>
  <si>
    <t>Electric Baseline</t>
  </si>
  <si>
    <t>Gas Baseline</t>
  </si>
  <si>
    <t>Specification</t>
  </si>
  <si>
    <t>Spec</t>
  </si>
  <si>
    <t>Column Labels</t>
  </si>
  <si>
    <t>2004</t>
  </si>
  <si>
    <t>2008</t>
  </si>
  <si>
    <t>2009</t>
  </si>
  <si>
    <t>2010</t>
  </si>
  <si>
    <t>2013</t>
  </si>
  <si>
    <t>2015</t>
  </si>
  <si>
    <t>Condensing Tankless</t>
  </si>
  <si>
    <t>% of PG&amp;E Homes with…</t>
  </si>
  <si>
    <t>Unknown</t>
  </si>
  <si>
    <t>National Qualified Models</t>
  </si>
  <si>
    <t>National # of brands</t>
  </si>
  <si>
    <t>Unit Cost</t>
  </si>
  <si>
    <t>Unit Installation Costs</t>
  </si>
  <si>
    <t>Unit Installed (Total) Costs</t>
  </si>
  <si>
    <t>Integrated or add-on</t>
  </si>
  <si>
    <t>Heat Pump</t>
  </si>
  <si>
    <t>Solar</t>
  </si>
  <si>
    <t>Solar (gas or electric backup)</t>
  </si>
  <si>
    <t>N/A</t>
  </si>
  <si>
    <t>Point-of-Use</t>
  </si>
  <si>
    <t>Yes - Onsite and Online</t>
  </si>
  <si>
    <t>No</t>
  </si>
  <si>
    <t>Yes - Online only</t>
  </si>
  <si>
    <t>Electric Whole-home Tankless</t>
  </si>
  <si>
    <t>Gas Whole-home Tankless</t>
  </si>
  <si>
    <t>Gas Hybrid</t>
  </si>
  <si>
    <t>CEE 0 Storage</t>
  </si>
  <si>
    <t>CEE 1 Storage</t>
  </si>
  <si>
    <t>CEE 2 Storage</t>
  </si>
  <si>
    <t>CEE 1 Tankless</t>
  </si>
  <si>
    <t>Description</t>
  </si>
  <si>
    <t>Electric Heat Pump</t>
  </si>
  <si>
    <t>Electric Point-of-Use</t>
  </si>
  <si>
    <t>Gas Condensing Tankless</t>
  </si>
  <si>
    <t>Storage tank water heaters that use a vapor compressor refrigeration cycle to concentrate ambient heat, which is used to assist in heating water in the tank.</t>
  </si>
  <si>
    <t>A point-of-use (POU) water heaters are small, tankless, units generally located near the sink, shower, or bath where the water is used, instead of a centralized unit. POU water heaters are not suitable for primary water heating, but rather supplement a central water heater to reduce heat loss.</t>
  </si>
  <si>
    <r>
      <t>A gas burner heats the water only when there is demand. Unlike conventional tankless water heaters, condensing tankless water heaters capture the additional heat from the exhaust gases to heat the water.</t>
    </r>
    <r>
      <rPr>
        <sz val="11"/>
        <color theme="1"/>
        <rFont val="Calibri"/>
        <family val="2"/>
        <scheme val="minor"/>
      </rPr>
      <t xml:space="preserve"> </t>
    </r>
  </si>
  <si>
    <t>Water heaters that do not have a storage tank. A gas burner heats the water only when there is demand.</t>
  </si>
  <si>
    <r>
      <t>W</t>
    </r>
    <r>
      <rPr>
        <sz val="11.5"/>
        <color theme="1"/>
        <rFont val="Calibri"/>
        <family val="2"/>
        <scheme val="minor"/>
      </rPr>
      <t>ater heaters that do not have a storage tank. A electric burner heats the water only when there is demand.</t>
    </r>
  </si>
  <si>
    <t>A water heater that captures the advantages of both tankless and storage tank technologies. Hybrid water heaters have a small tank that minimizes standby losses.</t>
  </si>
  <si>
    <t xml:space="preserve">Water heaters that utilize solar energy to heat water. Solar water heaters are generally mounted on to the roof of a home where water is heated through a copper heat exchanger and stored in an insulated tank for household use. Because solar water heaters work intermittently, low capacity gas or electric back-up water heaters are used to meet household demand. </t>
  </si>
  <si>
    <t>Source ID</t>
  </si>
  <si>
    <t>EF</t>
  </si>
  <si>
    <t>Organization</t>
  </si>
  <si>
    <t>Date Published</t>
  </si>
  <si>
    <t>Title</t>
  </si>
  <si>
    <t>Web Address</t>
  </si>
  <si>
    <t>Year</t>
  </si>
  <si>
    <t>Costs</t>
  </si>
  <si>
    <t>ACEEE</t>
  </si>
  <si>
    <t>Market Transformation Efforts for Water Heating Efficiency</t>
  </si>
  <si>
    <t>http://www.aceee.org/sites/default/files/publications/researchreports/a121.pdf</t>
  </si>
  <si>
    <t>PG&amp;E</t>
  </si>
  <si>
    <t>National</t>
  </si>
  <si>
    <t>http://btric.ornl.gov/pdfs/WaterHeatingTechnologiesRoadmap_9-30-2011_FINAL.pdf</t>
  </si>
  <si>
    <t>ORNL</t>
  </si>
  <si>
    <t>Research and Development Roadmap for Water Heating Technologies</t>
  </si>
  <si>
    <t>http://neea.org/docs/reports/2011waterheatermarketupdatea273dbb87ca3.pdf</t>
  </si>
  <si>
    <t>http://www.calmac.org/publications/heer__bce_083012_final.pdf</t>
  </si>
  <si>
    <t>NEEA</t>
  </si>
  <si>
    <t>2011 Water Heater Market Update</t>
  </si>
  <si>
    <t>ENERGY STAR</t>
  </si>
  <si>
    <t>http://www.energystar.gov/ia/partners/prod_development/new_specs/downloads/water_heaters/Water_Heater_Market_Profile_2010.pdf</t>
  </si>
  <si>
    <t>Energy Star Water Heater Market Profile: Efficiency Sells</t>
  </si>
  <si>
    <t>Incremental Cost</t>
  </si>
  <si>
    <t>http://cloud.cdhenergy.com/dhw_coe/documents/reports/aceee_final_a112.pdf</t>
  </si>
  <si>
    <t xml:space="preserve">Emerging Hot Water Technologies and Practices for Energy Efficiency as of 2011 </t>
  </si>
  <si>
    <t>http://www.aceee.org/files/proceedings/2010/data/papers/2205.pdf</t>
  </si>
  <si>
    <t xml:space="preserve">Heat Pump Water Heaters and American Homes: A Good Fit? </t>
  </si>
  <si>
    <t>http://www.etcc-ca.com/sites/default/files/reports/PGE%20Water%20Heater%20ET%20Final%20Report%20-%20FINAL.pdf</t>
  </si>
  <si>
    <t>Market-Focused Program Design to Accelerate Penetration of ENERGY STAR Water Heaters</t>
  </si>
  <si>
    <t>Workpaper Measure</t>
  </si>
  <si>
    <t>Yes</t>
  </si>
  <si>
    <t>PG&amp;E and SCE</t>
  </si>
  <si>
    <t>DOE</t>
  </si>
  <si>
    <t>KEMA</t>
  </si>
  <si>
    <t>2003 California Residential Appliance Saturation Study (RASS)</t>
  </si>
  <si>
    <t>2009 California Residential Appliance Saturation Study (RASS)</t>
  </si>
  <si>
    <t>http://websafe.kemainc.com/rass2009/Default.aspx</t>
  </si>
  <si>
    <t>https://www.aceee.org/files/pdf/conferences/hwf/2008/plen2_parker.pdf</t>
  </si>
  <si>
    <t>A.O. Smith</t>
  </si>
  <si>
    <t>Water Heater Marketplace</t>
  </si>
  <si>
    <t>Program Requirements for Residential Water Heaters: Partner Commitments</t>
  </si>
  <si>
    <t>https://www.energystar.gov/ia/partners/product_specs/program_reqs/WaterHeater_ProgramRequirements.pdf</t>
  </si>
  <si>
    <t>CUSCST</t>
  </si>
  <si>
    <t>2013 California Building Efficiency Standards: High Efficiency Water Heater Ready</t>
  </si>
  <si>
    <t>http://www.energy.ca.gov/title24/2013standards/prerulemaking/documents/current/Reports/Residential/Water_Heating/2013_CASE_WH2.WH5_WaterHeaterReady-10.28.2011.pdf</t>
  </si>
  <si>
    <t>http://www.energystar.gov/ia/partners/downloads/unit_shipment_data/2012_USD_Summary_Report.pdf</t>
  </si>
  <si>
    <t>ENERGY STAR Unit Shipment and Market Penetration Report Calendar Year 2012 Summary</t>
  </si>
  <si>
    <t>http://www.energystar.gov/ia/partners/downloads/unit_shipment_data/2013_USD_Summary_Report.pdf</t>
  </si>
  <si>
    <t>ENERGY STAR Unit Shipment and Market Penetration Report Calendar Year 2013 Summary</t>
  </si>
  <si>
    <t>http://www.buildwithpropane.com/uploadedFiles/buildwithpropane/website/Resources/propane-water-heating-fact-sheet.pdf</t>
  </si>
  <si>
    <t>Newport Partners LLC</t>
  </si>
  <si>
    <t>Comparing Residential Water Heaters for Energy Use, Economics, and Emissions.</t>
  </si>
  <si>
    <t>Residential Water Heaters: Draft Criteria Analysis</t>
  </si>
  <si>
    <t>http://www.energystar.gov/ia/partners/prod_development/new_specs/downloads/water_heaters/WaterHeaterDraftCriteriaAnalysis.pdf</t>
  </si>
  <si>
    <t>https://www.energystar.gov/ia/partners/prod_development/new_specs/downloads/water_heaters/WaterHeaterAnalysis_Final.pdf</t>
  </si>
  <si>
    <t>% 40 Gallon</t>
  </si>
  <si>
    <t xml:space="preserve">% 50 Gallon </t>
  </si>
  <si>
    <t xml:space="preserve">% 60 Gallon </t>
  </si>
  <si>
    <t>CALMAC</t>
  </si>
  <si>
    <t>Territory</t>
  </si>
  <si>
    <t>Shipments</t>
  </si>
  <si>
    <t>Workpaper parameters</t>
  </si>
  <si>
    <t>Household penetration</t>
  </si>
  <si>
    <t>Models Available - Sears</t>
  </si>
  <si>
    <t>Models Available - Home Depot</t>
  </si>
  <si>
    <t xml:space="preserve">Average Models Available </t>
  </si>
  <si>
    <t>Work Paper PGECODHW104 Gas Water Heater Revision # 4</t>
  </si>
  <si>
    <t>Work Paper PGECODHW106 Electric Storage Water Heater Revision # 4</t>
  </si>
  <si>
    <t>Base Case EF</t>
  </si>
  <si>
    <t>Base Case Equipment Cost</t>
  </si>
  <si>
    <t>Gas Federal Baseline</t>
  </si>
  <si>
    <t>Electric Federal Baseline</t>
  </si>
  <si>
    <t>Measure Incremental Cost</t>
  </si>
  <si>
    <t>Measure Equipment Cost</t>
  </si>
  <si>
    <t>Measure EUL (Effective Useful Life)</t>
  </si>
  <si>
    <t>Subtypes</t>
  </si>
  <si>
    <t>Measure information</t>
  </si>
  <si>
    <t>Gas or electric backup</t>
  </si>
  <si>
    <t>Note</t>
  </si>
  <si>
    <t>Meas #</t>
  </si>
  <si>
    <t>Market Indicator (Link)</t>
  </si>
  <si>
    <t>See Measure Description Tab</t>
  </si>
  <si>
    <t>% Shipments (within fuel type)</t>
  </si>
  <si>
    <t>Energy Conservation Program: Energy Conservation Standards for Residential Water Heaters, Direct Heating Equipment, and Pool Heaters; Final Rule</t>
  </si>
  <si>
    <t>http://www.regulations.gov/contentStreamer?objectId=0900006480ad8951&amp;disposition=attachment&amp;contentType=pdf</t>
  </si>
  <si>
    <t>http://www.energystar.gov/ia/partners/prod_development/new_specs/downloads/water_heaters/WaterHeater_ProgramRequirements.pdf?7c93-56f8</t>
  </si>
  <si>
    <t>ENERGY STAR® Program Requirements for Residential Water Heaters v1.0</t>
  </si>
  <si>
    <t>ENERGY STAR® Program Requirements for Residential Water Heaters v2.0</t>
  </si>
  <si>
    <t>http://www.energystar.gov/sites/default/files/specs//ENERGY%20STAR%20Water%20Heaters%20V2%200%20Program%20Requirements.pdf</t>
  </si>
  <si>
    <t>http://www.energystar.gov/sites/default/files/specs//ENERGY%20STAR%20Water%20Heaters%20Version%203%200%20Program%20Requirements.pdf</t>
  </si>
  <si>
    <t>ENERGY STAR® Program Requirements for Residential Water Heaters v3.0</t>
  </si>
  <si>
    <t>http://library.cee1.org/sites/default/files/library/7520/CEE_WH_Initiative_Description_3-27-2008.pdf</t>
  </si>
  <si>
    <t xml:space="preserve">Consortium for Energy Efficiency High-Efficiency Residential Gas Water Heating Initiative </t>
  </si>
  <si>
    <t>CEE</t>
  </si>
  <si>
    <t>TE</t>
  </si>
  <si>
    <t>Additional Background Information</t>
  </si>
  <si>
    <t>Sources Consulted</t>
  </si>
  <si>
    <t>Single family, annual</t>
  </si>
  <si>
    <t>Measure UEC (Unit Energy Consumption) Therms</t>
  </si>
  <si>
    <t>Measure UEC (Unit Energy Consumption) kWh</t>
  </si>
  <si>
    <t>Base Case UEC (Unit Energy Consumption) Therms</t>
  </si>
  <si>
    <t>Base Case UEC (Unit Energy Consumption) kWh</t>
  </si>
  <si>
    <t>Measure UES (Unit Energy Savings) Therms</t>
  </si>
  <si>
    <t>Includes commercial applications</t>
  </si>
  <si>
    <t>Minimum Measure EF</t>
  </si>
  <si>
    <t>MISSING DATA</t>
  </si>
  <si>
    <t>Measure data not in source</t>
  </si>
  <si>
    <t>Not applicable for measure</t>
  </si>
  <si>
    <t>Interpretation</t>
  </si>
  <si>
    <t>[Blank]</t>
  </si>
  <si>
    <t>No source available</t>
  </si>
  <si>
    <t>Years</t>
  </si>
  <si>
    <t>$</t>
  </si>
  <si>
    <t>Measure UES (Unit Energy Savings) kWh</t>
  </si>
  <si>
    <t>Retail Availability</t>
  </si>
  <si>
    <t>Wholesale Availability</t>
  </si>
  <si>
    <t>In-store and online</t>
  </si>
  <si>
    <t>Online</t>
  </si>
  <si>
    <t>Average Tank Size (gallons)</t>
  </si>
  <si>
    <t>Workpaper Data</t>
  </si>
  <si>
    <t>Average # Models Available - Home Depot (in-store)</t>
  </si>
  <si>
    <t>Average # Models Available - Lowe's (in-store)</t>
  </si>
  <si>
    <t>Average # Models Available - Sears (in-store)</t>
  </si>
  <si>
    <t>Average # Models Available - OSH (in-store)</t>
  </si>
  <si>
    <t>% of Assortment - Home Depot (in-store)</t>
  </si>
  <si>
    <t>% of  Assortment - Lowe's (in-store)</t>
  </si>
  <si>
    <t>% of Assortment - Sears (in-store)</t>
  </si>
  <si>
    <t>% of Assortment - OSH (in-store)</t>
  </si>
  <si>
    <t>Models Available - Home Depot (online)</t>
  </si>
  <si>
    <t>Models Available - Sears (online)</t>
  </si>
  <si>
    <t>Average Models Available (online)</t>
  </si>
  <si>
    <t>% of Assortment - Home Depot (online)</t>
  </si>
  <si>
    <t>% of Assortment - Lowe's (online)</t>
  </si>
  <si>
    <t>% of Assortment  - Sears (online)</t>
  </si>
  <si>
    <t>Average % of Assortment (in-store)</t>
  </si>
  <si>
    <t>Average % of Assortment (online)</t>
  </si>
  <si>
    <t>Models Available - Lowe's (online)</t>
  </si>
  <si>
    <t>Models Available - Lowe's</t>
  </si>
  <si>
    <t xml:space="preserve">% of Assortment - Home Depot </t>
  </si>
  <si>
    <t xml:space="preserve">% of Assortment - Lowe's </t>
  </si>
  <si>
    <t xml:space="preserve">% of Assortment  - Sears </t>
  </si>
  <si>
    <t xml:space="preserve">Average % of Assortment </t>
  </si>
  <si>
    <t>In-store</t>
  </si>
  <si>
    <t>Availability, Model Counts, and Assortment</t>
  </si>
  <si>
    <t>Calculated from # of models available. Proportion of overall product assortment represented by each measure's models.</t>
  </si>
  <si>
    <t>Penetration</t>
  </si>
  <si>
    <t>% Shipments (within fuel &amp; technology type)</t>
  </si>
  <si>
    <t>ENERGY STAR Shipments</t>
  </si>
  <si>
    <t>Estimated based on reporting by majority of ENERGY STAR partners.</t>
  </si>
  <si>
    <t>Estimated based on ENERGY STAR partner reports.</t>
  </si>
  <si>
    <t>Unit Shipments</t>
  </si>
  <si>
    <t>Number of water heaters shipped annually.</t>
  </si>
  <si>
    <t>Calculated from unit shipments.</t>
  </si>
  <si>
    <t>Existing Penetration and New Unit Shipments</t>
  </si>
  <si>
    <t>Calculated from national shipments. Solar excluded from gas and electric totals to avoid double counting</t>
  </si>
  <si>
    <t xml:space="preserve">UES (Unit Energy Savings) Therms </t>
  </si>
  <si>
    <t xml:space="preserve">UES (Unit Energy Savings) - kWh </t>
  </si>
  <si>
    <t>Summer Peak Demand kW</t>
  </si>
  <si>
    <t>Winter Peak Demand kW</t>
  </si>
  <si>
    <t>Savings over baseline (%)</t>
  </si>
  <si>
    <t>Unit Savings</t>
  </si>
  <si>
    <t>UEC (Unit Energy Consumption) kWh</t>
  </si>
  <si>
    <t xml:space="preserve">UEC (Unit Energy Consumption) Therms </t>
  </si>
  <si>
    <t>20 - 55, 55-120</t>
  </si>
  <si>
    <t>20-55, 55-100</t>
  </si>
  <si>
    <t>&lt; 2</t>
  </si>
  <si>
    <t>ENERGY STAR Storage</t>
  </si>
  <si>
    <t>ENERGY STAR Condensing</t>
  </si>
  <si>
    <t>ENERGY STAR Tankless</t>
  </si>
  <si>
    <t>ENERGY STAR Solar</t>
  </si>
  <si>
    <t>ENERGY STAR EPACT</t>
  </si>
  <si>
    <t>Requirement Units</t>
  </si>
  <si>
    <t>SF</t>
  </si>
  <si>
    <t>ENERGY STAR Solar - Electric backup</t>
  </si>
  <si>
    <t>ENERGY STAR Solar - Gas backup</t>
  </si>
  <si>
    <t>Sum of Requirement</t>
  </si>
  <si>
    <t>Federal Minimum Tankless</t>
  </si>
  <si>
    <t>Federal Minimum Storage</t>
  </si>
  <si>
    <t>0.5 SF</t>
  </si>
  <si>
    <t>2009-2013</t>
  </si>
  <si>
    <t>2013 -</t>
  </si>
  <si>
    <t xml:space="preserve">2013 - </t>
  </si>
  <si>
    <t>Minimum Efficiency</t>
  </si>
  <si>
    <t>0.90 TE</t>
  </si>
  <si>
    <t>1.8 SEF</t>
  </si>
  <si>
    <t>1.2 SEF</t>
  </si>
  <si>
    <t>SEF</t>
  </si>
  <si>
    <t>≤55 gal</t>
  </si>
  <si>
    <t>&gt;55 gal</t>
  </si>
  <si>
    <t>Any</t>
  </si>
  <si>
    <t>Tank Size (Storage only)</t>
  </si>
  <si>
    <t>(Multiple Items)</t>
  </si>
  <si>
    <t>Electric &lt;55 gal and tankless</t>
  </si>
  <si>
    <t xml:space="preserve"> Gas &lt;55 gal and tankless</t>
  </si>
  <si>
    <t>Electric large capacity (&gt;55 gal)</t>
  </si>
  <si>
    <t>Gas large capacity (&gt;55 gal)</t>
  </si>
  <si>
    <t>Gas - Standard Volume and Tankless</t>
  </si>
  <si>
    <t>Gas - Large Volume</t>
  </si>
  <si>
    <t>Electric - Standard Volume and Tankless</t>
  </si>
  <si>
    <t>Not Shown In Figure</t>
  </si>
  <si>
    <t>Tank Volume</t>
  </si>
  <si>
    <t>Effective Dates</t>
  </si>
  <si>
    <t>Pivot Table to Generate Data at Left</t>
  </si>
  <si>
    <t>CODES AND SPECS VIEW DATA</t>
  </si>
  <si>
    <t>Figure data, copied as values from pivot table at Right.</t>
  </si>
  <si>
    <t>Additional specs data for tables below figure.</t>
  </si>
  <si>
    <t>Model Availability</t>
  </si>
  <si>
    <t>Savings</t>
  </si>
  <si>
    <t>Measure Name</t>
  </si>
  <si>
    <t>Measure Location</t>
  </si>
  <si>
    <t>Column</t>
  </si>
  <si>
    <t>% of Retailer Model Assortment</t>
  </si>
  <si>
    <t>Incremental Measure Cost</t>
  </si>
  <si>
    <t>% National Shipments 
(by fuel type)</t>
  </si>
  <si>
    <t>National, PG&amp;E</t>
  </si>
  <si>
    <t>Market Data Summary: Penetration, Shipments, Availability, Cost, Savings</t>
  </si>
  <si>
    <t>Market Indicators Collected</t>
  </si>
  <si>
    <t>Code and Specification Timeline</t>
  </si>
  <si>
    <t>Measure Descriptions</t>
  </si>
  <si>
    <t>National, CA</t>
  </si>
  <si>
    <t>Measure Overview</t>
  </si>
  <si>
    <t>Workpaper vs Market Parameters Comparison</t>
  </si>
  <si>
    <t>Workpaper</t>
  </si>
  <si>
    <t>kWh</t>
  </si>
  <si>
    <t>Therms</t>
  </si>
  <si>
    <t>Effective Useful Life</t>
  </si>
  <si>
    <t>National Baseline</t>
  </si>
  <si>
    <t>Rough Comparison of Workpaper and Market Data</t>
  </si>
  <si>
    <t>Water Heater Size</t>
  </si>
  <si>
    <t>Standard gas storage</t>
  </si>
  <si>
    <t>Large gas storage</t>
  </si>
  <si>
    <t>Standard gas tankless</t>
  </si>
  <si>
    <t>Standard electric storage</t>
  </si>
  <si>
    <t>Large electric storage</t>
  </si>
  <si>
    <t xml:space="preserve">Standard electric instantaneous </t>
  </si>
  <si>
    <t>DOE Standard Volume (Gallons)</t>
  </si>
  <si>
    <t>Source</t>
  </si>
  <si>
    <t>Volume Calculation Inputs ("Requirement" Column)</t>
  </si>
  <si>
    <t xml:space="preserve">Storage tank water heaters that use a variety of technologies to reach ENERGY STAR's minimum specification. </t>
  </si>
  <si>
    <t>Without a storage tank, a gas burner heats the water only when there is demand. Efficiency meets ENERGY STAR's minimum specification.</t>
  </si>
  <si>
    <t xml:space="preserve">Water heaters with an insulated storage tank generally ranging from 20 to 80 gallons. </t>
  </si>
  <si>
    <t>Max Input (Btu/h)</t>
  </si>
  <si>
    <t>Residential Tank Size Range (gal)</t>
  </si>
  <si>
    <t>Formula - updates automatically</t>
  </si>
  <si>
    <t>Formula - manually change to update parameters</t>
  </si>
  <si>
    <t>Non-formula cell</t>
  </si>
  <si>
    <t>Key:</t>
  </si>
  <si>
    <t>Source #</t>
  </si>
  <si>
    <t>10011-2</t>
  </si>
  <si>
    <t>READ ME</t>
  </si>
  <si>
    <t>Calculated from installed (Total) Costs</t>
  </si>
  <si>
    <t>EF =2.0</t>
  </si>
  <si>
    <t>EF =0.80</t>
  </si>
  <si>
    <t>EF =0.85</t>
  </si>
  <si>
    <t>EF =0.82</t>
  </si>
  <si>
    <t>EF = 0.67</t>
  </si>
  <si>
    <t>EF =0.95</t>
  </si>
  <si>
    <t>EF = 0.62</t>
  </si>
  <si>
    <t>EF =0.92</t>
  </si>
  <si>
    <t>Estimated 2015 UEC kWh</t>
  </si>
  <si>
    <t>Estimated 2015 UEC Therms</t>
  </si>
  <si>
    <t>2015 Efficiency Level</t>
  </si>
  <si>
    <t>2015 Estimated UES kWh</t>
  </si>
  <si>
    <t>2015 Estimated UES Therms</t>
  </si>
  <si>
    <t>http://www.regulations.gov/#!documentDetail;D=EERE-2006-STD-0129-0170</t>
  </si>
  <si>
    <t>Water Heater Technical Support Document. Chapter 7: Energy Use Characterization</t>
  </si>
  <si>
    <t>Calculated from estimates of Energy Use at each efficiency level</t>
  </si>
  <si>
    <t>Actual ENERGY STAR Spec is 0.90, which was not calculated in source. 0.92 shown for approximation.</t>
  </si>
  <si>
    <t>Provisional based on PG&amp;E efficiency definition for measure; DOE provides no definition of efficiency for condensing tankless)</t>
  </si>
  <si>
    <t>Estimated Annual Energy Use for 2015 revised specs (see Codes and Specs Data Tab). Energy use shown is for specific efficiency factor only, NOT average of available products.</t>
  </si>
  <si>
    <t>Data</t>
  </si>
  <si>
    <t>Electric - Large Volume</t>
  </si>
  <si>
    <t>Shipments % ENERGY STAR</t>
  </si>
  <si>
    <t>Gas Storage ENERGY STAR</t>
  </si>
  <si>
    <t>Condensing Storage ENERGY STAR</t>
  </si>
  <si>
    <t>Gas Whole-home Tankless ENERGY STAR</t>
  </si>
  <si>
    <t>cells link to data tab location</t>
  </si>
  <si>
    <t>Summary View</t>
  </si>
  <si>
    <t>Measure Data</t>
  </si>
  <si>
    <t>Codes and Specs Data</t>
  </si>
  <si>
    <t>Source Info</t>
  </si>
  <si>
    <t>Tab Overview:</t>
  </si>
  <si>
    <t>The main data table for all data included in the workbook.</t>
  </si>
  <si>
    <t>The main data table for all Codes and Voluntary Specifications data.</t>
  </si>
  <si>
    <t>List of all sources consulted. Source numbers correspond to data tab source #s.</t>
  </si>
  <si>
    <t>Description of each measure included in the workbook.</t>
  </si>
  <si>
    <t>An overview of key data points collected.</t>
  </si>
  <si>
    <t>Gas Condensing Storage ENERGY STAR</t>
  </si>
  <si>
    <t>Designed by: Research Into Action</t>
  </si>
  <si>
    <t>CA</t>
  </si>
  <si>
    <t>Unit Installed (Total) Cost</t>
  </si>
  <si>
    <t>Unit Installation Cost</t>
  </si>
  <si>
    <t>Measure Definition</t>
  </si>
  <si>
    <t>50 gal EF=.90</t>
  </si>
  <si>
    <t>40 gal EF =.59</t>
  </si>
  <si>
    <t>40 gal EF=.67</t>
  </si>
  <si>
    <t>.82 TE 120 mbtu/hr</t>
  </si>
  <si>
    <t>50 gal EF=2.4</t>
  </si>
  <si>
    <t>Unknown, source uses TE not EF</t>
  </si>
  <si>
    <t>Itron</t>
  </si>
  <si>
    <t>http://www.calmac.org/publications/2010-2012_WO017_Ex_Ante_Measure_Cost_Study_-_Final_Report.pdf</t>
  </si>
  <si>
    <t>$ Calculated</t>
  </si>
  <si>
    <t>2010-2012 WO017 Ex Ante Measure Cost Study Final Report</t>
  </si>
  <si>
    <t>From study, used DOE standard volumes.</t>
  </si>
  <si>
    <t>SCE</t>
  </si>
  <si>
    <t>SCG</t>
  </si>
  <si>
    <t>% of SCE Homes with…</t>
  </si>
  <si>
    <t>% of SCG Homes with…</t>
  </si>
  <si>
    <t>% of SCG&amp;E Homes with…</t>
  </si>
  <si>
    <t>High Efficiency Electric Storage</t>
  </si>
  <si>
    <t>Labor Cost</t>
  </si>
  <si>
    <t>40-80</t>
  </si>
  <si>
    <t>SDG&amp;E</t>
  </si>
  <si>
    <t>Gallons</t>
  </si>
  <si>
    <t xml:space="preserve">Tank size </t>
  </si>
  <si>
    <t xml:space="preserve">Workpaper WPSCGREWH140122a Tankless Water Heaters for Single family Residential Applications, Tier 2 </t>
  </si>
  <si>
    <t>Work Paper WPSDGEREWH0022 Residential Heat Pump Water Heater</t>
  </si>
  <si>
    <t>$300-$500</t>
  </si>
  <si>
    <t>$600-$1300</t>
  </si>
  <si>
    <t>$300-$800</t>
  </si>
  <si>
    <t>4700-5100</t>
  </si>
  <si>
    <t>2000-2300</t>
  </si>
  <si>
    <t>2204-3181</t>
  </si>
  <si>
    <t>Range from DEER values</t>
  </si>
  <si>
    <t>IOU Selection</t>
  </si>
  <si>
    <t>IOUList</t>
  </si>
  <si>
    <t>Workpaper Selection:</t>
  </si>
  <si>
    <t>Column #:</t>
  </si>
  <si>
    <t>Select IOU</t>
  </si>
  <si>
    <t>IOU</t>
  </si>
  <si>
    <t xml:space="preserve">IOU  </t>
  </si>
  <si>
    <t xml:space="preserve">  PLA Water Heater Dashboard</t>
  </si>
  <si>
    <t>Research Into Action</t>
  </si>
  <si>
    <t>Water Heater Baseline Study- PG&amp;E</t>
  </si>
  <si>
    <t>Baseline Rpt -PG&amp;E</t>
  </si>
  <si>
    <t>Retail availability/assortment</t>
  </si>
  <si>
    <t>Codes and specifications</t>
  </si>
  <si>
    <t>Energy savings</t>
  </si>
  <si>
    <t>Measure descriptions</t>
  </si>
  <si>
    <t>User Selection</t>
  </si>
  <si>
    <t>User Notes:</t>
  </si>
  <si>
    <r>
      <rPr>
        <b/>
        <sz val="10"/>
        <color theme="1"/>
        <rFont val="Arial"/>
        <family val="2"/>
      </rPr>
      <t>Data notes:</t>
    </r>
    <r>
      <rPr>
        <sz val="10"/>
        <color theme="1"/>
        <rFont val="Arial"/>
        <family val="2"/>
      </rPr>
      <t xml:space="preserve"> Retailer availability and incremental cost data were taken from 2014 PG&amp;E Baseline Study; no corresponding information available for other IOU territories.</t>
    </r>
  </si>
  <si>
    <t>MEASURES</t>
  </si>
  <si>
    <t>TABLE VALUES</t>
  </si>
  <si>
    <t>A water heater with a storage tank that has a greater amount of insulation than an electric baseline water heater.</t>
  </si>
  <si>
    <t>Program, Other Information</t>
  </si>
  <si>
    <t>State or Province</t>
  </si>
  <si>
    <t>Alliant Energy</t>
  </si>
  <si>
    <t>IA</t>
  </si>
  <si>
    <t>MN</t>
  </si>
  <si>
    <t>Ameren Illinois</t>
  </si>
  <si>
    <t>IL</t>
  </si>
  <si>
    <t>Ameren Missouri</t>
  </si>
  <si>
    <t>Owner Occupied</t>
  </si>
  <si>
    <t>MO</t>
  </si>
  <si>
    <t>Landlords</t>
  </si>
  <si>
    <t>Atmos Energy</t>
  </si>
  <si>
    <t>KY</t>
  </si>
  <si>
    <t>CO</t>
  </si>
  <si>
    <t>TX</t>
  </si>
  <si>
    <t>Avista Utilities</t>
  </si>
  <si>
    <t>WA</t>
  </si>
  <si>
    <t>ID</t>
  </si>
  <si>
    <t>OR</t>
  </si>
  <si>
    <t>Baltimore Gas and Electric Company</t>
  </si>
  <si>
    <t>MD</t>
  </si>
  <si>
    <t>Berkshire Gas Company</t>
  </si>
  <si>
    <t>GasNetworks</t>
  </si>
  <si>
    <t>MA</t>
  </si>
  <si>
    <t>Black Hills Energy</t>
  </si>
  <si>
    <t>Cascade Natural Gas</t>
  </si>
  <si>
    <t>City of Palo Alto Utilities</t>
  </si>
  <si>
    <t>Columbia Gas of Massachusetts</t>
  </si>
  <si>
    <t>Columbia Gas of Ohio</t>
  </si>
  <si>
    <t>OH</t>
  </si>
  <si>
    <t>Con Edison</t>
  </si>
  <si>
    <t>NY</t>
  </si>
  <si>
    <t>Connecticut Natural Gas</t>
  </si>
  <si>
    <t>CT</t>
  </si>
  <si>
    <t>Consumers Energy</t>
  </si>
  <si>
    <t>MI</t>
  </si>
  <si>
    <t>DC Sustainable Energy Utility</t>
  </si>
  <si>
    <t>DC</t>
  </si>
  <si>
    <t>Delta Natural Gas</t>
  </si>
  <si>
    <t>DTE Energy</t>
  </si>
  <si>
    <t>Duke Energy</t>
  </si>
  <si>
    <t>Efficiency Maine</t>
  </si>
  <si>
    <t>ME</t>
  </si>
  <si>
    <t>Efficiency Vermont</t>
  </si>
  <si>
    <t>VT</t>
  </si>
  <si>
    <t>Energy Trust of Oregon</t>
  </si>
  <si>
    <t>Focus on Energy Wisconsin</t>
  </si>
  <si>
    <t>WI</t>
  </si>
  <si>
    <t>FortisBC</t>
  </si>
  <si>
    <t>BC</t>
  </si>
  <si>
    <t>Gaz Métro</t>
  </si>
  <si>
    <t>QC</t>
  </si>
  <si>
    <t>Great Plains Natural Gas</t>
  </si>
  <si>
    <t>Liberty Utilities</t>
  </si>
  <si>
    <t>MidAmerican Energy Co.</t>
  </si>
  <si>
    <t>Montana-Dakota Utilities</t>
  </si>
  <si>
    <t>MT</t>
  </si>
  <si>
    <t>SD</t>
  </si>
  <si>
    <t>National Grid</t>
  </si>
  <si>
    <t>Rhode Island</t>
  </si>
  <si>
    <t>RI</t>
  </si>
  <si>
    <t>Upstate New York</t>
  </si>
  <si>
    <t>Metro NYC</t>
  </si>
  <si>
    <t>Long Island</t>
  </si>
  <si>
    <t>New Jersey Clean Energy Program</t>
  </si>
  <si>
    <t>NJ</t>
  </si>
  <si>
    <t>New Jersey Natural Gas</t>
  </si>
  <si>
    <t>New Mexico Gas Company</t>
  </si>
  <si>
    <t>New Homes</t>
  </si>
  <si>
    <t>NM</t>
  </si>
  <si>
    <t>Existing Homes</t>
  </si>
  <si>
    <t>Nicor Gas Company</t>
  </si>
  <si>
    <t>Northern Indiana Public Service</t>
  </si>
  <si>
    <t>IN</t>
  </si>
  <si>
    <t>NSTAR</t>
  </si>
  <si>
    <t>NV  Energy</t>
  </si>
  <si>
    <t>NV</t>
  </si>
  <si>
    <t>NYSERDA</t>
  </si>
  <si>
    <t>Pacific Gas and Electric</t>
  </si>
  <si>
    <t>PECO</t>
  </si>
  <si>
    <t>PA</t>
  </si>
  <si>
    <t>Puget Sound Energy</t>
  </si>
  <si>
    <t>Questar Gas</t>
  </si>
  <si>
    <t>UT</t>
  </si>
  <si>
    <t>WY</t>
  </si>
  <si>
    <t>San Diego Gas &amp; Electric</t>
  </si>
  <si>
    <t>SourceGas</t>
  </si>
  <si>
    <t>AR</t>
  </si>
  <si>
    <t>NE</t>
  </si>
  <si>
    <t>South Jersey Gas</t>
  </si>
  <si>
    <t>Southern California Gas Company</t>
  </si>
  <si>
    <t>Southern Connecticut Gas</t>
  </si>
  <si>
    <t>Southwest Gas</t>
  </si>
  <si>
    <t>Nevada</t>
  </si>
  <si>
    <t>Arizona</t>
  </si>
  <si>
    <t>AZ</t>
  </si>
  <si>
    <t>Southern California</t>
  </si>
  <si>
    <t>Northern California</t>
  </si>
  <si>
    <t>Union Gas</t>
  </si>
  <si>
    <t>ON</t>
  </si>
  <si>
    <t>Unitil</t>
  </si>
  <si>
    <t>NH</t>
  </si>
  <si>
    <t>Vectren Indiana</t>
  </si>
  <si>
    <t>Vectren Ohio</t>
  </si>
  <si>
    <t>Vermont Gas</t>
  </si>
  <si>
    <t>Xcel Energy</t>
  </si>
  <si>
    <t>Yankee Gas</t>
  </si>
  <si>
    <t>EnergizeCT</t>
  </si>
  <si>
    <t>Gas Storage</t>
  </si>
  <si>
    <t>Incented measure</t>
  </si>
  <si>
    <t>Efficiency Level 1 (EF)</t>
  </si>
  <si>
    <t>Rebate 1</t>
  </si>
  <si>
    <t>Efficiency Level 2 (EF)</t>
  </si>
  <si>
    <t>Rebate 2</t>
  </si>
  <si>
    <t>Efficiency Level 3 (EF)</t>
  </si>
  <si>
    <t>Rebate 3</t>
  </si>
  <si>
    <t>Gas Tankless</t>
  </si>
  <si>
    <t>Indirect Water Heaters</t>
  </si>
  <si>
    <t>Hybrid Tank/Tankless</t>
  </si>
  <si>
    <t>Heating Unit AFUE</t>
  </si>
  <si>
    <t>Rebate</t>
  </si>
  <si>
    <t>Efficiency Level (TE)</t>
  </si>
  <si>
    <t>2..0</t>
  </si>
  <si>
    <t>NEEA Tier 1</t>
  </si>
  <si>
    <t>NEEA Tier 2</t>
  </si>
  <si>
    <t>Not specified</t>
  </si>
  <si>
    <t>Fuel type and tank size are the top two factors driving consumer purchase decisions</t>
  </si>
  <si>
    <t>More than two-thirds of water heater replacements are end-of-life replacements due to unit failure</t>
  </si>
  <si>
    <t>In California, 80% of water heaters are gas-fueled, compared with about 55-60% of water heaters nationally</t>
  </si>
  <si>
    <t>About 1% of the installed base of 100 million units meets ENERGY STAR qualification levels</t>
  </si>
  <si>
    <t>Gas storage</t>
  </si>
  <si>
    <t>Gas tankless</t>
  </si>
  <si>
    <t>Electric heat pump</t>
  </si>
  <si>
    <t>Indirect water heaters</t>
  </si>
  <si>
    <t>Gas hybrid</t>
  </si>
  <si>
    <t>Solar Water Heating Measure</t>
  </si>
  <si>
    <t>Measure Offered</t>
  </si>
  <si>
    <t>Rating Requirement</t>
  </si>
  <si>
    <t>Maximum Incentive</t>
  </si>
  <si>
    <t>OG-300 by SRCC</t>
  </si>
  <si>
    <t>Varies</t>
  </si>
  <si>
    <t>OG-100</t>
  </si>
  <si>
    <t>Average Efficiency Level</t>
  </si>
  <si>
    <t>OG-100 to OG-300</t>
  </si>
  <si>
    <t>Offers at least one incentive</t>
  </si>
  <si>
    <t>Number of Programs offering incentive</t>
  </si>
  <si>
    <t>Cost of unit</t>
  </si>
  <si>
    <t xml:space="preserve">Solar </t>
  </si>
  <si>
    <t>ENERGY STAR gas storage</t>
  </si>
  <si>
    <t>Availability</t>
  </si>
  <si>
    <t>Gas Condensing</t>
  </si>
  <si>
    <t>Absorption heat pump water heater</t>
  </si>
  <si>
    <t>Air source and ground source integrated heat pump</t>
  </si>
  <si>
    <t>Lack of installer/retailer knowledge of efficient products</t>
  </si>
  <si>
    <t>Confirmed DS</t>
  </si>
  <si>
    <t>Midstream / Upstream incentives:</t>
  </si>
  <si>
    <t>CenterPoint Energy</t>
  </si>
  <si>
    <t>Consumer awareness</t>
  </si>
  <si>
    <t>Market Information</t>
  </si>
  <si>
    <t>http://library.cee1.org/sites/default/files/library/11971/CEE_ResWaterHeating_2014ProgramSummary_12-22-14.xlsx</t>
  </si>
  <si>
    <t>Program &amp; Technology Review of Two Residential Product Programs: Home Energy Efficiency Rebate (HEER)/Business &amp; Consumer Electronics (BCE).</t>
  </si>
  <si>
    <t>2014 CEE Residential Water Heating Program Summary</t>
  </si>
  <si>
    <t>Number of programs offering incentives:</t>
  </si>
  <si>
    <t>http://www.apscservices.info/EEInfo/EEReports/CenterPoint%202013.pdf</t>
  </si>
  <si>
    <t>CenterPoint Energy Energy Efficiency Program Portfolio Annual Report 2013 Program Year</t>
  </si>
  <si>
    <t>CenterPoint Energy (Arkansas):</t>
  </si>
  <si>
    <t>CenterPoint Energy (Minnesota):</t>
  </si>
  <si>
    <t>$50 dealer incentive if they are listed as the installer</t>
  </si>
  <si>
    <t>$15 dealer incentive if they are listed as the dealer</t>
  </si>
  <si>
    <t>Technology Type</t>
  </si>
  <si>
    <t>Source: 10025</t>
  </si>
  <si>
    <t>http://www.calmac.org/publications/SDGE_Plug_Load_and_Appliances_Field_Services_Evaluation_Final_Report_110615_PDF.pdf</t>
  </si>
  <si>
    <t>Evaluation of the San Diego Gas &amp; Electric Plug Load and Appliances Field Services Efforts</t>
  </si>
  <si>
    <t>National CEE Member Program Information</t>
  </si>
  <si>
    <t>Average End User Incentive Amount</t>
  </si>
  <si>
    <t>Manufacturers</t>
  </si>
  <si>
    <t>Installers</t>
  </si>
  <si>
    <t>Rheem (37% market share)</t>
  </si>
  <si>
    <t>A.O. Smith (46% market share)</t>
  </si>
  <si>
    <t>Bradford White (13% market share)</t>
  </si>
  <si>
    <t>Marker share:</t>
  </si>
  <si>
    <t>Other (4%)</t>
  </si>
  <si>
    <t>Ferguson, Hohnstone, and Winnelson (30%)</t>
  </si>
  <si>
    <t>Technology Barriers</t>
  </si>
  <si>
    <t>Market Barriers</t>
  </si>
  <si>
    <t xml:space="preserve">Installer Barriers </t>
  </si>
  <si>
    <t xml:space="preserve">Consumer Barriers </t>
  </si>
  <si>
    <t>Cost of unit
Lack of consumer awareness</t>
  </si>
  <si>
    <t>Lack of contractor knowledge
Performance issues</t>
  </si>
  <si>
    <t>Larger size, may limit applicability in small areas or low ceilings
Performance issues</t>
  </si>
  <si>
    <t>Lack of contractor Awareness</t>
  </si>
  <si>
    <t>Installer acceptability (emerging technology)
Lack of contractor awareness</t>
  </si>
  <si>
    <t>Cost of unit
Aesthetics</t>
  </si>
  <si>
    <t>NEBs</t>
  </si>
  <si>
    <t>Barriers and NEBs by Technology</t>
  </si>
  <si>
    <t>Small market share in California due to limited use of electricity for water heating</t>
  </si>
  <si>
    <t>http://aceee.org/files/pdf/conferences/hwf/2013/6A-glanville.pdf</t>
  </si>
  <si>
    <t>The Opportunity for Gas-Fired Heat Pump Water Heaters</t>
  </si>
  <si>
    <t>Sources: 10001, 10024, 10028</t>
  </si>
  <si>
    <t>Maybe not as efficient as hoped: TE &gt; 90% may only be EF less than 0.8
Requires venting upgrade</t>
  </si>
  <si>
    <t>Emergency replacement - Half of all water heaters sales are emergency replacements</t>
  </si>
  <si>
    <t>Market Barrier</t>
  </si>
  <si>
    <t>Dehumidification</t>
  </si>
  <si>
    <t>Longer warranty</t>
  </si>
  <si>
    <t>Residential End-users</t>
  </si>
  <si>
    <t>For most plumbers, water heater installations make up only 5-20% of their business.</t>
  </si>
  <si>
    <t>Plumbers install about 60% of all water heaters and it is not a focus of their business.</t>
  </si>
  <si>
    <t xml:space="preserve">In the retail sector, water heaters are generally tiered into good-better-best categories, which are primarily correlated with warranty length. </t>
  </si>
  <si>
    <t xml:space="preserve">More than 80% of storage water heaters sold are minimum efficiency storage models, described by manufacturers as basic and commodity products. </t>
  </si>
  <si>
    <t>About 50% of water heaters purchased are by homeowners</t>
  </si>
  <si>
    <t>20% are then installed by installers</t>
  </si>
  <si>
    <t>29% are DIY installations</t>
  </si>
  <si>
    <t>Retailers and Wholesalers/ Distributors</t>
  </si>
  <si>
    <t>"Endless" hot water</t>
  </si>
  <si>
    <t>Bradford White only distributes through wholesale channels</t>
  </si>
  <si>
    <t>* National</t>
  </si>
  <si>
    <t>* Pacific Northwest</t>
  </si>
  <si>
    <t>* California</t>
  </si>
  <si>
    <t>Emerging Technologies (Source 10003)</t>
  </si>
  <si>
    <t>Heat pump water heater with CO2 refrigerant</t>
  </si>
  <si>
    <t>* Refers to light duty commercial condensing gas storage units that may be applicable to residential settings.</t>
  </si>
  <si>
    <t>*ENERGY STAR EPACT (Condensing Storage)</t>
  </si>
  <si>
    <t>Storage tank water heaters that do not have standing pilots and have an inducer fan that acts as a flue damper to reduce off-cycle losses. Condensing storage water heaters utilize captured gasses to heat the water in the tank. Many are classified as light duty commercial units "EPACT" because their gas input exceeds 75,000 Btu/hr</t>
  </si>
  <si>
    <t>Work Paper SCE13WH001.2  Heat Pump Water Heater</t>
  </si>
  <si>
    <t>Base Case Labor Cost</t>
  </si>
  <si>
    <t>Measure Labor Cost</t>
  </si>
  <si>
    <t>DEER</t>
  </si>
  <si>
    <t>UEC kWh</t>
  </si>
  <si>
    <t>UES kWh</t>
  </si>
  <si>
    <t>UEC Therms</t>
  </si>
  <si>
    <t>UES Therms</t>
  </si>
  <si>
    <t>Unit Energy Savings (2015 Code)</t>
  </si>
  <si>
    <t>http://www.deeresources.com/index.php/deer-versions/deer2011-for-13-14</t>
  </si>
  <si>
    <t>DEER2011 Database Tool to View and Download Data (2013-2014 + 2015 updates)</t>
  </si>
  <si>
    <t>Measure Notes</t>
  </si>
  <si>
    <t>Not included in DEER, data is from ENERGY STAR whole home tankless EF=.92, for comparison</t>
  </si>
  <si>
    <t>EF=2.0</t>
  </si>
  <si>
    <t>EF=.67</t>
  </si>
  <si>
    <t>EF=.82</t>
  </si>
  <si>
    <t>EF=.92</t>
  </si>
  <si>
    <t>EF=.82, not specifically condensing, but provided for comparison.</t>
  </si>
  <si>
    <t>DEER 2015 Residential existing construction savings above 2015 code</t>
  </si>
  <si>
    <t>Pre-2015 code savings</t>
  </si>
  <si>
    <t>Savings over Baseline (%)</t>
  </si>
  <si>
    <t>V1.0</t>
  </si>
  <si>
    <t>No commercial availability.</t>
  </si>
  <si>
    <t>Sears, Home Depot, and Lowe's (43%)</t>
  </si>
  <si>
    <t>Market Model - Sources 10023, 10024, 10002</t>
  </si>
  <si>
    <t xml:space="preserve">Barriers and Opportunities </t>
  </si>
  <si>
    <t>Home orientation
Hot water usage patterns may reduce savings</t>
  </si>
  <si>
    <t>Tankless Water Heater Realization Rates and Installation Barriers</t>
  </si>
  <si>
    <t xml:space="preserve">Upstream water heater programs are not well documented. Some utilities are working with distribution channels and contractors to help increase availability of high efficiency products, but these efforts are far less common than downstream programs. Utilities may operate upstream programs directly, or they might work with a third party to help educate retailers and plumbers about the benefits of efficient water heaters. </t>
  </si>
  <si>
    <t>Purchased through retailers</t>
  </si>
  <si>
    <t>Purchased through wholesalers/Distributors</t>
  </si>
  <si>
    <t>Market Share (Sales):</t>
  </si>
  <si>
    <t>Additional Market Information - Source 10023</t>
  </si>
  <si>
    <t>Actual Savings and Performance of Natural Gas Tankless Water Heaters</t>
  </si>
  <si>
    <t>Center for Energy and Environment</t>
  </si>
  <si>
    <t>http://www.mncee.org/getattachment/7b8982e9-4d95-4bc9-8e64-f89033617f37/</t>
  </si>
  <si>
    <t>Sources: 10001, 10025, 10026, 10030</t>
  </si>
  <si>
    <t>For tankless water heater programs, most of the utilities offer some sort of contractor training as part of their programs (either directly or through a coalition), although what constitutes training varies considerably from utility to utility.</t>
  </si>
  <si>
    <t>According to a 2010 report, most utilities provide no education to their customers on how best to use tankless water heaters. Education is usually limited to brochures, bill stuffers, web site materials and trade show contacts, which typically provide information on the incentive program but not on the technology itself except in the broadest sense. Yet industry experts as well as local contractors and end-users who were interviewed all seemed to concur that some education was important in order to ensure appropriate use of tankless water heaters and maximum customer satisfaction</t>
  </si>
  <si>
    <t>Source: 10030</t>
  </si>
  <si>
    <t xml:space="preserve">Installation barriers: </t>
  </si>
  <si>
    <t xml:space="preserve">The installation of tankless water heaters, especially in retrofit applications, adds significantly to the cost. Side wall venting must be planned out and installed, often with expensive venting materials (stainless steel). Tankless water heaters are typically installed on exterior walls, which often requires relocation of the water heater and modification of the water piping and natural gas lines. In some cases the gas line from the gas meter to the water heater has to be upsized. A 120V electrical outlet is needed near the heater.   </t>
  </si>
  <si>
    <t>Less than 10% of water heater sales were tankless units in 2011.</t>
  </si>
  <si>
    <t>Sources: 10002, 10003, 10023, 10010, 10027, 10030</t>
  </si>
  <si>
    <t>% of CA Homes with…</t>
  </si>
  <si>
    <t>PG&amp;E - '09</t>
  </si>
  <si>
    <t>SCE - '09</t>
  </si>
  <si>
    <t>SCG - '09</t>
  </si>
  <si>
    <t>SDG&amp;E - '09</t>
  </si>
  <si>
    <t>CA - '12</t>
  </si>
  <si>
    <t>RASS/CLASS Selection</t>
  </si>
  <si>
    <t xml:space="preserve">California is ahead of the market in upstream/midstream program design in this area: SCG operated an upstream program where it provided a split incentive to distributors and contractors. This program was 3rd party-administered, and was designed to increase the number of distributers who stock, and contractors who sell, high efficiency equipment. The program also held education seminars at distributor locations. SCG also provided incentives directly to manufacturers to ensure that purchases of their tankless water heaters are installed by factory trained contractors. Rebates were offered to consumers through the manufacturer, who is then reimbursed by the utility. </t>
  </si>
  <si>
    <t>DNV-GL</t>
  </si>
  <si>
    <t>California Lighting and Appliance Saturation Survey (CLASS)</t>
  </si>
  <si>
    <t>https://websafe.kemainc.com/projects62/Default.aspx?tabid=190</t>
  </si>
  <si>
    <t>California</t>
  </si>
  <si>
    <t>IOUList2</t>
  </si>
  <si>
    <t>Supply Chain</t>
  </si>
  <si>
    <t>Installed Base</t>
  </si>
  <si>
    <t>Purchase Decisions</t>
  </si>
  <si>
    <t>New Sales</t>
  </si>
  <si>
    <t xml:space="preserve">
Longer time needed for installation
Cost of unit
Higher installation cost (venting and gas line)</t>
  </si>
  <si>
    <t>Requires venting, electric, gas line upgrade</t>
  </si>
  <si>
    <t>Potentially higher market penetration in new construction and early replacement 
May not be cost effective</t>
  </si>
  <si>
    <t>Customer education:</t>
  </si>
  <si>
    <t>Upstream program design:</t>
  </si>
  <si>
    <t>Midstream program design:</t>
  </si>
  <si>
    <t>Energy savings not a sales driver - "Up-selling" is uncommon due to the commodity nature of the product.</t>
  </si>
  <si>
    <t>Low consumer awareness/knowledge of energy-efficient technologies</t>
  </si>
  <si>
    <t>Small selection of efficient products at wholesale and retail levels</t>
  </si>
  <si>
    <t>Consumer</t>
  </si>
  <si>
    <t>Manufacturer</t>
  </si>
  <si>
    <t>Customer incentives</t>
  </si>
  <si>
    <t>Retail/Wholesale/Installers</t>
  </si>
  <si>
    <t>Conduct consumer education campaigns</t>
  </si>
  <si>
    <t>Engage retailers and wholesalers to expand their efficient product assortment and encourage on-site stocking of efficient models, to increase availability and reduce barriers to emergency replacement with efficient technologies</t>
  </si>
  <si>
    <t>Coordinate with manufacturers to provide customer education materials</t>
  </si>
  <si>
    <t>Educate installers on incentives, technical details of installation, and efficient model details
Conduct retailer and installer training on technologies and incentives
Fund retailer or installer co-op marketing</t>
  </si>
  <si>
    <t>Upstream incentives
Link manufacturer and utility rebates</t>
  </si>
  <si>
    <t>Midstream incentives
Link utility rebates and retail promotions</t>
  </si>
  <si>
    <t>Reduce consumer upfront cost and payback period</t>
  </si>
  <si>
    <t>Program Intervention</t>
  </si>
  <si>
    <t>Incremental cost</t>
  </si>
  <si>
    <t>Efficient units are too expensive for widespread adoption (tankless gas units, in particular may have very long payback period.)</t>
  </si>
  <si>
    <t>Purchase behaviors</t>
  </si>
  <si>
    <t>Understanding, value of efficiency</t>
  </si>
  <si>
    <t>Direct customer marketing to promote early replacement</t>
  </si>
  <si>
    <t>Source: 10002</t>
  </si>
  <si>
    <t>As many as 30% of homes may not be suited to the new classes of water heater products. Many homes are limited to classic storage water heaters unless they undertake costly renovations due to increased space requirements, unit location, venting, drain, or power supply issues.</t>
  </si>
  <si>
    <t>Summary Recommendations</t>
  </si>
  <si>
    <t xml:space="preserve">Measured Energy Savings: </t>
  </si>
  <si>
    <t>In situ efficiency factor</t>
  </si>
  <si>
    <t>Tankless energy savings</t>
  </si>
  <si>
    <t>Hot water use changes</t>
  </si>
  <si>
    <r>
      <t xml:space="preserve">This study found no significant change in hot water consumption of those receiving a tankless water heater, compared with consumers who received a new efficient storage water heater.
            </t>
    </r>
    <r>
      <rPr>
        <sz val="10"/>
        <color theme="1"/>
        <rFont val="Wingdings"/>
        <charset val="2"/>
      </rPr>
      <t>è</t>
    </r>
    <r>
      <rPr>
        <sz val="10"/>
        <color theme="1"/>
        <rFont val="Calibri"/>
        <family val="2"/>
        <scheme val="minor"/>
      </rPr>
      <t>However, we caution that this may not be true of customers who choose to purchase a tankless water heater because their previous water heater was not delivering sufficient hot water to meet their needs.</t>
    </r>
  </si>
  <si>
    <t xml:space="preserve">Comparing measured daily efficiencies versus rated EFs showed that EF over-predicted efficiency by 14 percentage points for standard water heaters compared to 9 percentage points for tankless water heaters. The findings from this 2010 study strongly suggest that the DOE Energy Factor test procedure does not accurately model real-world operating efficiency. This report shows that it does not accurately predict installed performance or provide a non-biased metric for comparison between technologies. </t>
  </si>
  <si>
    <t>However, no existing studies cite these installation challenges as an insurmountable barrier to promoting tankless gas products, although they likely limit tankless gas water heaters application in emergency replacement scenarios in some cases.</t>
  </si>
  <si>
    <r>
      <rPr>
        <b/>
        <sz val="10"/>
        <rFont val="Calibri"/>
        <family val="2"/>
        <scheme val="minor"/>
      </rPr>
      <t xml:space="preserve">Large tank regulations may also provide intervention opportunities. </t>
    </r>
    <r>
      <rPr>
        <sz val="10"/>
        <rFont val="Calibri"/>
        <family val="2"/>
        <scheme val="minor"/>
      </rPr>
      <t>Although the proportion of large tank (&gt;55 gallons) water heaters in residential applications is low, the new federal requirements for large tank sizes may mean that installers need to gain familiarity with advanced technologies. This may provide opportunities for utilities to  facilitate that training while building relationships. There may also be opportunities to encourage compliance with the large tank regulations, instead of installing two smaller capacity water heaters with lower efficiency levels.</t>
    </r>
  </si>
  <si>
    <t>What proportion of water heaters are sold through retail channesl and who else, in addition to plumbers, are installing residential water heaters in existing homes in California? The 2013 study used the Dunn &amp; Bradstreet database to identify possible water heater installers based on businesses using plumbing-related codes. However, almost none of the surveyed installers reported obtaining the water heaters they install from retail stores or from homeowners (nearly all said they obtain water heaters from distributors or wholesalers). Yet previous research suggests that up to 50% of the buyers of water heaters sold at retail are plumbers or installers.</t>
  </si>
  <si>
    <t>Compared to standard tank water heaters (EF=.60), non-condensing tankless water heaters (EF=.83) saved an average of 37% of site energy consumed  for water heating at ten sites in the Minneapolis/St Paul area, which was about 60 therms per home per year. See this study for additional details on real-world performance of condensing tankless and buffer unit models.</t>
  </si>
  <si>
    <r>
      <rPr>
        <b/>
        <sz val="10"/>
        <rFont val="Calibri"/>
        <family val="2"/>
        <scheme val="minor"/>
      </rPr>
      <t xml:space="preserve">Tankless water heaters do appear to save energy and do continue to have a low market share in replacement applications. </t>
    </r>
    <r>
      <rPr>
        <sz val="10"/>
        <rFont val="Calibri"/>
        <family val="2"/>
        <scheme val="minor"/>
      </rPr>
      <t>A 2010 study found that gas tankless water heaters saved 37% relative to a standard tank gas water heater. Previous studies have also found savings, although few accounted for the potentially increased water use with tankless gas water heaters. According to CLASS, 6% of water heaters installed between 2010 and 2012 were gas tankless units, suggesting that tankless sales are increasing, but not at a high enough rate to preclude intervention. However, given the high installation cost and large proportion of ENERGY STAR qualified units in the tankless category, it is unclear whether utility intervention can provide incentives large enough to effectively influence adoption. Nevertheless, the substantial non-energy benefits suggest that reducing the first cost may influence adoption, but ongoing monitoring of changes in hot water use patterns is needed.</t>
    </r>
  </si>
  <si>
    <r>
      <rPr>
        <b/>
        <sz val="10"/>
        <rFont val="Calibri"/>
        <family val="2"/>
        <scheme val="minor"/>
      </rPr>
      <t>Engage midstream and upstream market actors to encourage efficient product installation.</t>
    </r>
    <r>
      <rPr>
        <sz val="10"/>
        <rFont val="Calibri"/>
        <family val="2"/>
        <scheme val="minor"/>
      </rPr>
      <t xml:space="preserve"> Despite consistently offering generous incentives, the incremental cost of efficient water heating technologies remains high and the market penetration of efficient technologies remains stubbornly low. Working with midstream and upstream market actors may more effectively leverage utility incentives and will expand market awareness of the benefits of efficient water heaters, while meeting market transformation objectives.</t>
    </r>
  </si>
  <si>
    <t>% Savings over Baseline</t>
  </si>
  <si>
    <t>Additional Research</t>
  </si>
  <si>
    <t>Existing Program Data</t>
  </si>
  <si>
    <t>Summary of existing water heater programs.</t>
  </si>
  <si>
    <t>Additional WH research completed through the Work Paper Update Project.</t>
  </si>
  <si>
    <t>Questions for Future Research</t>
  </si>
  <si>
    <t>What explains the disparity between intention and action among PG&amp;E customers’ ENERGY STAR water heater purchases? The general population survey identified an interesting gap between water heater attitude and behavior: although 61% of respondents stated they intended to buy an ENERGY STAR water heater only 3% did so. If emergency replacement explains this gap, how can program administrators design programs to intervene at the optimum point in the decision-making process?</t>
  </si>
  <si>
    <r>
      <t xml:space="preserve">This workbook is designed  to inform the California Statewide PLA team's water heater program planning. The tool aggregates water heater measure market data from a variety of sources. Measures were defined based on a combination of fuel, technology, and efficiency specifications. 
</t>
    </r>
    <r>
      <rPr>
        <b/>
        <sz val="10"/>
        <color theme="1"/>
        <rFont val="Arial"/>
        <family val="2"/>
      </rPr>
      <t>Intended use:</t>
    </r>
    <r>
      <rPr>
        <sz val="10"/>
        <color theme="1"/>
        <rFont val="Arial"/>
        <family val="2"/>
      </rPr>
      <t xml:space="preserve"> These data are intended to provide a starting point in program planning; they are not intended to inform forecasting or reporting. The applicable year, territory, and source have been tracked for each data point collected. Consult these sources for specific questions on data interpretation.</t>
    </r>
  </si>
  <si>
    <t>PG&amp;E Program Manager: Julie Colvin</t>
  </si>
  <si>
    <t>PG&amp;E Product Manager: David Bates</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</si>
</sst>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4" formatCode="_(&quot;$&quot;* #,##0.00_);_(&quot;$&quot;* \(#,##0.00\);_(&quot;$&quot;* &quot;-&quot;??_);_(@_)"/>
    <numFmt numFmtId="43" formatCode="_(* #,##0.00_);_(* \(#,##0.00\);_(* &quot;-&quot;??_);_(@_)"/>
    <numFmt numFmtId="164" formatCode="0.0"/>
    <numFmt numFmtId="165" formatCode="_(&quot;$&quot;* #,##0_);_(&quot;$&quot;* \(#,##0\);_(&quot;$&quot;* &quot;-&quot;??_);_(@_)"/>
    <numFmt numFmtId="166" formatCode="0.0%"/>
    <numFmt numFmtId="167" formatCode="&quot;$&quot;#,##0"/>
    <numFmt numFmtId="168" formatCode="_(* #,##0_);_(* \(#,##0\);_(* &quot;-&quot;??_);_(@_)"/>
    <numFmt numFmtId="169" formatCode="0.00\ &quot;(EF)&quot;"/>
    <numFmt numFmtId="170" formatCode="0.00\ &quot;(AFUE)&quot;"/>
  </numFmts>
  <fonts count="75" x14ac:knownFonts="1">
    <font>
      <sz val="10"/>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9"/>
      <color theme="1"/>
      <name val="Calibri"/>
      <family val="2"/>
      <scheme val="minor"/>
    </font>
    <font>
      <sz val="10"/>
      <color theme="1"/>
      <name val="Calibri"/>
      <family val="2"/>
      <scheme val="minor"/>
    </font>
    <font>
      <b/>
      <sz val="10"/>
      <color theme="1"/>
      <name val="Calibri"/>
      <family val="2"/>
      <scheme val="minor"/>
    </font>
    <font>
      <sz val="10"/>
      <name val="Calibri"/>
      <family val="2"/>
      <scheme val="minor"/>
    </font>
    <font>
      <sz val="10"/>
      <color theme="0"/>
      <name val="Calibri"/>
      <family val="2"/>
      <scheme val="minor"/>
    </font>
    <font>
      <sz val="8"/>
      <color theme="1"/>
      <name val="Calibri"/>
      <family val="2"/>
      <scheme val="minor"/>
    </font>
    <font>
      <sz val="10"/>
      <name val="Webdings"/>
      <family val="1"/>
      <charset val="2"/>
    </font>
    <font>
      <b/>
      <sz val="24"/>
      <color theme="1"/>
      <name val="Calibri"/>
      <family val="2"/>
      <scheme val="minor"/>
    </font>
    <font>
      <b/>
      <sz val="36"/>
      <color theme="1"/>
      <name val="Calibri"/>
      <family val="2"/>
      <scheme val="minor"/>
    </font>
    <font>
      <sz val="10"/>
      <color rgb="FFFF0000"/>
      <name val="Calibri"/>
      <family val="2"/>
      <scheme val="minor"/>
    </font>
    <font>
      <sz val="6"/>
      <color theme="1"/>
      <name val="Calibri"/>
      <family val="2"/>
      <scheme val="minor"/>
    </font>
    <font>
      <sz val="20"/>
      <name val="Calibri"/>
      <family val="2"/>
      <scheme val="minor"/>
    </font>
    <font>
      <b/>
      <sz val="18"/>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5"/>
      <color theme="1"/>
      <name val="Calibri"/>
      <family val="2"/>
      <scheme val="minor"/>
    </font>
    <font>
      <sz val="9"/>
      <color indexed="81"/>
      <name val="Tahoma"/>
      <family val="2"/>
    </font>
    <font>
      <b/>
      <sz val="13"/>
      <color theme="3"/>
      <name val="Calibri"/>
      <family val="2"/>
      <scheme val="minor"/>
    </font>
    <font>
      <u/>
      <sz val="11"/>
      <color theme="10"/>
      <name val="Calibri"/>
      <family val="2"/>
      <scheme val="minor"/>
    </font>
    <font>
      <i/>
      <sz val="11"/>
      <color theme="1"/>
      <name val="Calibri"/>
      <family val="2"/>
      <scheme val="minor"/>
    </font>
    <font>
      <b/>
      <sz val="12"/>
      <color theme="1"/>
      <name val="Calibri"/>
      <family val="2"/>
      <scheme val="minor"/>
    </font>
    <font>
      <b/>
      <sz val="20"/>
      <color theme="1"/>
      <name val="Calibri"/>
      <family val="2"/>
      <scheme val="minor"/>
    </font>
    <font>
      <sz val="12"/>
      <color theme="1"/>
      <name val="Calibri"/>
      <family val="2"/>
      <scheme val="minor"/>
    </font>
    <font>
      <b/>
      <sz val="11"/>
      <color theme="1"/>
      <name val="Calibri"/>
      <family val="2"/>
    </font>
    <font>
      <sz val="10"/>
      <color theme="1"/>
      <name val="Calibri"/>
      <family val="2"/>
    </font>
    <font>
      <sz val="9"/>
      <name val="Calibri"/>
      <family val="2"/>
      <scheme val="minor"/>
    </font>
    <font>
      <sz val="14"/>
      <color theme="1"/>
      <name val="Calibri"/>
      <family val="2"/>
      <scheme val="minor"/>
    </font>
    <font>
      <sz val="10"/>
      <color theme="1"/>
      <name val="Arial"/>
      <family val="2"/>
    </font>
    <font>
      <b/>
      <sz val="12"/>
      <color theme="1"/>
      <name val="Arial"/>
      <family val="2"/>
    </font>
    <font>
      <sz val="11"/>
      <color theme="1"/>
      <name val="Arial"/>
      <family val="2"/>
    </font>
    <font>
      <b/>
      <i/>
      <sz val="10"/>
      <color theme="1"/>
      <name val="Arial"/>
      <family val="2"/>
    </font>
    <font>
      <b/>
      <sz val="10"/>
      <color theme="1"/>
      <name val="Arial"/>
      <family val="2"/>
    </font>
    <font>
      <b/>
      <sz val="11"/>
      <color theme="1"/>
      <name val="Arial"/>
      <family val="2"/>
    </font>
    <font>
      <sz val="8"/>
      <color theme="1"/>
      <name val="Arial"/>
      <family val="2"/>
    </font>
    <font>
      <sz val="10"/>
      <color theme="1" tint="0.24994659260841701"/>
      <name val="Arial"/>
      <family val="2"/>
    </font>
    <font>
      <u/>
      <sz val="9"/>
      <color theme="1" tint="0.499984740745262"/>
      <name val="Arial"/>
      <family val="2"/>
    </font>
    <font>
      <u/>
      <sz val="9"/>
      <color theme="0" tint="-0.499984740745262"/>
      <name val="Arial"/>
      <family val="2"/>
    </font>
    <font>
      <sz val="11"/>
      <color theme="0" tint="-0.499984740745262"/>
      <name val="Wingdings"/>
      <charset val="2"/>
    </font>
    <font>
      <b/>
      <sz val="11"/>
      <color theme="0" tint="-0.499984740745262"/>
      <name val="Wingdings"/>
      <charset val="2"/>
    </font>
    <font>
      <b/>
      <sz val="9"/>
      <name val="Arial"/>
      <family val="2"/>
    </font>
    <font>
      <u/>
      <sz val="11"/>
      <color theme="0" tint="-0.499984740745262"/>
      <name val="Arial"/>
      <family val="2"/>
    </font>
    <font>
      <b/>
      <i/>
      <sz val="11"/>
      <color theme="0"/>
      <name val="Calibri"/>
      <family val="2"/>
      <scheme val="minor"/>
    </font>
    <font>
      <b/>
      <i/>
      <sz val="10"/>
      <color theme="0"/>
      <name val="Arial"/>
      <family val="2"/>
    </font>
    <font>
      <b/>
      <i/>
      <sz val="10"/>
      <color theme="0"/>
      <name val="Calibri"/>
      <family val="2"/>
      <scheme val="minor"/>
    </font>
    <font>
      <b/>
      <sz val="9"/>
      <color indexed="81"/>
      <name val="Tahoma"/>
      <family val="2"/>
    </font>
    <font>
      <i/>
      <sz val="10"/>
      <color theme="1"/>
      <name val="Calibri"/>
      <family val="2"/>
      <scheme val="minor"/>
    </font>
    <font>
      <b/>
      <i/>
      <sz val="10"/>
      <color theme="1"/>
      <name val="Calibri"/>
      <family val="2"/>
      <scheme val="minor"/>
    </font>
    <font>
      <b/>
      <sz val="10"/>
      <color theme="0" tint="-4.9989318521683403E-2"/>
      <name val="Arial"/>
      <family val="2"/>
    </font>
    <font>
      <sz val="10"/>
      <color theme="1"/>
      <name val="Wingdings"/>
      <charset val="2"/>
    </font>
    <font>
      <b/>
      <sz val="10"/>
      <name val="Calibri"/>
      <family val="2"/>
      <scheme val="minor"/>
    </font>
  </fonts>
  <fills count="33">
    <fill>
      <patternFill patternType="none"/>
    </fill>
    <fill>
      <patternFill patternType="gray125"/>
    </fill>
    <fill>
      <patternFill patternType="solid">
        <fgColor theme="3" tint="0.79998168889431442"/>
        <bgColor indexed="64"/>
      </patternFill>
    </fill>
    <fill>
      <patternFill patternType="solid">
        <fgColor theme="3" tint="0.59999389629810485"/>
        <bgColor indexed="64"/>
      </patternFill>
    </fill>
    <fill>
      <patternFill patternType="solid">
        <fgColor theme="6"/>
        <bgColor indexed="64"/>
      </patternFill>
    </fill>
    <fill>
      <patternFill patternType="solid">
        <fgColor theme="0" tint="-0.14999847407452621"/>
        <bgColor indexed="64"/>
      </patternFill>
    </fill>
    <fill>
      <patternFill patternType="solid">
        <fgColor theme="0"/>
        <bgColor indexed="64"/>
      </patternFill>
    </fill>
    <fill>
      <patternFill patternType="solid">
        <fgColor rgb="FFFFC000"/>
        <bgColor indexed="64"/>
      </patternFill>
    </fill>
    <fill>
      <patternFill patternType="solid">
        <fgColor rgb="FF99CCFF"/>
        <bgColor indexed="64"/>
      </patternFill>
    </fill>
    <fill>
      <patternFill patternType="solid">
        <fgColor theme="4"/>
        <bgColor indexed="64"/>
      </patternFill>
    </fill>
    <fill>
      <patternFill patternType="solid">
        <fgColor theme="8" tint="0.7999816888943144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theme="3" tint="0.39997558519241921"/>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2" tint="-0.499984740745262"/>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4" tint="0.79998168889431442"/>
        <bgColor theme="4" tint="0.79998168889431442"/>
      </patternFill>
    </fill>
    <fill>
      <patternFill patternType="solid">
        <fgColor rgb="FFFFE38B"/>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rgb="FFC00000"/>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9" tint="0.39997558519241921"/>
        <bgColor indexed="64"/>
      </patternFill>
    </fill>
    <fill>
      <patternFill patternType="solid">
        <fgColor theme="9" tint="0.59999389629810485"/>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ck">
        <color theme="4" tint="0.499984740745262"/>
      </bottom>
      <diagonal/>
    </border>
    <border>
      <left style="thin">
        <color indexed="64"/>
      </left>
      <right/>
      <top/>
      <bottom style="thin">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theme="4" tint="0.39997558519241921"/>
      </bottom>
      <diagonal/>
    </border>
    <border>
      <left style="thin">
        <color indexed="64"/>
      </left>
      <right style="thin">
        <color indexed="64"/>
      </right>
      <top/>
      <bottom/>
      <diagonal/>
    </border>
    <border>
      <left style="thin">
        <color indexed="64"/>
      </left>
      <right style="thin">
        <color indexed="64"/>
      </right>
      <top/>
      <bottom style="thin">
        <color theme="4" tint="0.39997558519241921"/>
      </bottom>
      <diagonal/>
    </border>
    <border>
      <left style="thick">
        <color theme="0"/>
      </left>
      <right style="thick">
        <color theme="0"/>
      </right>
      <top/>
      <bottom/>
      <diagonal/>
    </border>
    <border>
      <left style="thick">
        <color theme="0"/>
      </left>
      <right/>
      <top/>
      <bottom/>
      <diagonal/>
    </border>
    <border>
      <left/>
      <right style="thick">
        <color theme="0"/>
      </right>
      <top/>
      <bottom/>
      <diagonal/>
    </border>
    <border>
      <left style="thick">
        <color theme="0"/>
      </left>
      <right style="thick">
        <color theme="0"/>
      </right>
      <top style="thin">
        <color indexed="64"/>
      </top>
      <bottom/>
      <diagonal/>
    </border>
    <border>
      <left style="medium">
        <color rgb="FF53A9FF"/>
      </left>
      <right style="medium">
        <color rgb="FF53A9FF"/>
      </right>
      <top style="medium">
        <color rgb="FF53A9FF"/>
      </top>
      <bottom style="medium">
        <color rgb="FF53A9FF"/>
      </bottom>
      <diagonal/>
    </border>
    <border>
      <left style="thick">
        <color theme="0"/>
      </left>
      <right/>
      <top style="thin">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thick">
        <color theme="0"/>
      </right>
      <top style="thin">
        <color indexed="64"/>
      </top>
      <bottom/>
      <diagonal/>
    </border>
    <border>
      <left style="dotted">
        <color theme="0" tint="-0.499984740745262"/>
      </left>
      <right style="dotted">
        <color theme="0" tint="-0.499984740745262"/>
      </right>
      <top style="dotted">
        <color theme="0" tint="-0.499984740745262"/>
      </top>
      <bottom style="dotted">
        <color theme="0" tint="-0.499984740745262"/>
      </bottom>
      <diagonal/>
    </border>
    <border>
      <left/>
      <right/>
      <top/>
      <bottom style="dotted">
        <color theme="0" tint="-0.499984740745262"/>
      </bottom>
      <diagonal/>
    </border>
    <border>
      <left/>
      <right style="dotted">
        <color theme="0" tint="-0.499984740745262"/>
      </right>
      <top/>
      <bottom style="dotted">
        <color theme="0" tint="-0.499984740745262"/>
      </bottom>
      <diagonal/>
    </border>
    <border>
      <left style="dotted">
        <color theme="0" tint="-0.499984740745262"/>
      </left>
      <right style="dotted">
        <color theme="0" tint="-0.499984740745262"/>
      </right>
      <top/>
      <bottom style="dotted">
        <color theme="0" tint="-0.499984740745262"/>
      </bottom>
      <diagonal/>
    </border>
    <border>
      <left style="dotted">
        <color theme="0" tint="-0.499984740745262"/>
      </left>
      <right/>
      <top/>
      <bottom style="dotted">
        <color theme="0" tint="-0.499984740745262"/>
      </bottom>
      <diagonal/>
    </border>
    <border>
      <left/>
      <right style="dotted">
        <color theme="0" tint="-0.499984740745262"/>
      </right>
      <top style="dotted">
        <color theme="0" tint="-0.499984740745262"/>
      </top>
      <bottom style="dotted">
        <color theme="0" tint="-0.499984740745262"/>
      </bottom>
      <diagonal/>
    </border>
    <border>
      <left style="dotted">
        <color theme="0" tint="-0.499984740745262"/>
      </left>
      <right/>
      <top style="dotted">
        <color theme="0" tint="-0.499984740745262"/>
      </top>
      <bottom style="dotted">
        <color theme="0" tint="-0.499984740745262"/>
      </bottom>
      <diagonal/>
    </border>
    <border>
      <left style="dotted">
        <color theme="0" tint="-0.499984740745262"/>
      </left>
      <right style="dotted">
        <color theme="0" tint="-0.499984740745262"/>
      </right>
      <top style="dotted">
        <color theme="0" tint="-0.499984740745262"/>
      </top>
      <bottom style="dotted">
        <color theme="0" tint="-0.14996795556505021"/>
      </bottom>
      <diagonal/>
    </border>
    <border>
      <left/>
      <right/>
      <top style="dotted">
        <color theme="0" tint="-0.499984740745262"/>
      </top>
      <bottom/>
      <diagonal/>
    </border>
    <border>
      <left/>
      <right/>
      <top style="dotted">
        <color theme="0" tint="-0.499984740745262"/>
      </top>
      <bottom style="dotted">
        <color theme="0" tint="-0.499984740745262"/>
      </bottom>
      <diagonal/>
    </border>
  </borders>
  <cellStyleXfs count="18">
    <xf numFmtId="0" fontId="0" fillId="0" borderId="0"/>
    <xf numFmtId="0" fontId="23" fillId="0" borderId="0"/>
    <xf numFmtId="9" fontId="25" fillId="0" borderId="0" applyFont="0" applyFill="0" applyBorder="0" applyAlignment="0" applyProtection="0"/>
    <xf numFmtId="0" fontId="22" fillId="0" borderId="0"/>
    <xf numFmtId="44" fontId="25" fillId="0" borderId="0" applyFont="0" applyFill="0" applyBorder="0" applyAlignment="0" applyProtection="0"/>
    <xf numFmtId="0" fontId="42" fillId="0" borderId="18" applyNumberFormat="0" applyFill="0" applyAlignment="0" applyProtection="0"/>
    <xf numFmtId="0" fontId="43" fillId="0" borderId="0" applyNumberFormat="0" applyFill="0" applyBorder="0" applyAlignment="0" applyProtection="0"/>
    <xf numFmtId="0" fontId="19" fillId="0" borderId="0"/>
    <xf numFmtId="0" fontId="25" fillId="0" borderId="0"/>
    <xf numFmtId="0" fontId="19" fillId="0" borderId="0"/>
    <xf numFmtId="9" fontId="25" fillId="0" borderId="0" applyFont="0" applyFill="0" applyBorder="0" applyAlignment="0" applyProtection="0"/>
    <xf numFmtId="0" fontId="19" fillId="0" borderId="0"/>
    <xf numFmtId="44" fontId="25" fillId="0" borderId="0" applyFont="0" applyFill="0" applyBorder="0" applyAlignment="0" applyProtection="0"/>
    <xf numFmtId="0" fontId="18" fillId="0" borderId="0"/>
    <xf numFmtId="0" fontId="18" fillId="0" borderId="0"/>
    <xf numFmtId="0" fontId="18" fillId="0" borderId="0"/>
    <xf numFmtId="0" fontId="59" fillId="0" borderId="0" applyNumberFormat="0" applyFill="0" applyBorder="0" applyAlignment="0" applyProtection="0"/>
    <xf numFmtId="43" fontId="25" fillId="0" borderId="0" applyFont="0" applyFill="0" applyBorder="0" applyAlignment="0" applyProtection="0"/>
  </cellStyleXfs>
  <cellXfs count="620">
    <xf numFmtId="0" fontId="0" fillId="0" borderId="0" xfId="0"/>
    <xf numFmtId="0" fontId="24" fillId="0" borderId="0" xfId="1" applyFont="1"/>
    <xf numFmtId="0" fontId="23" fillId="0" borderId="0" xfId="1"/>
    <xf numFmtId="0" fontId="0" fillId="0" borderId="0" xfId="0" applyBorder="1"/>
    <xf numFmtId="0" fontId="0" fillId="0" borderId="3" xfId="0" applyBorder="1"/>
    <xf numFmtId="14" fontId="0" fillId="0" borderId="0" xfId="0" applyNumberFormat="1"/>
    <xf numFmtId="0" fontId="23" fillId="3" borderId="0" xfId="1" applyFill="1"/>
    <xf numFmtId="0" fontId="26" fillId="0" borderId="0" xfId="0" applyFont="1"/>
    <xf numFmtId="17" fontId="23" fillId="0" borderId="0" xfId="1" applyNumberFormat="1"/>
    <xf numFmtId="0" fontId="0" fillId="0" borderId="0" xfId="0" applyNumberFormat="1"/>
    <xf numFmtId="9" fontId="0" fillId="0" borderId="0" xfId="2" applyFont="1"/>
    <xf numFmtId="0" fontId="0" fillId="0" borderId="0" xfId="0" applyAlignment="1">
      <alignment wrapText="1"/>
    </xf>
    <xf numFmtId="0" fontId="0" fillId="0" borderId="0" xfId="2" applyNumberFormat="1" applyFont="1"/>
    <xf numFmtId="0" fontId="0" fillId="0" borderId="0" xfId="0" applyFill="1"/>
    <xf numFmtId="0" fontId="0" fillId="6" borderId="0" xfId="0" applyFill="1"/>
    <xf numFmtId="0" fontId="23" fillId="0" borderId="0" xfId="1" applyFill="1"/>
    <xf numFmtId="0" fontId="27" fillId="0" borderId="0" xfId="0" applyFont="1" applyFill="1" applyBorder="1"/>
    <xf numFmtId="0" fontId="27" fillId="0" borderId="0" xfId="0" applyFont="1" applyFill="1" applyBorder="1" applyAlignment="1">
      <alignment wrapText="1"/>
    </xf>
    <xf numFmtId="0" fontId="30" fillId="0" borderId="0" xfId="0" applyFont="1" applyFill="1" applyBorder="1" applyAlignment="1">
      <alignment horizontal="center" wrapText="1"/>
    </xf>
    <xf numFmtId="0" fontId="27" fillId="0" borderId="0" xfId="0" applyFont="1" applyFill="1"/>
    <xf numFmtId="0" fontId="0" fillId="7" borderId="0" xfId="0" applyFill="1"/>
    <xf numFmtId="0" fontId="32" fillId="7" borderId="0" xfId="0" applyFont="1" applyFill="1" applyBorder="1"/>
    <xf numFmtId="0" fontId="0" fillId="7" borderId="0" xfId="0" applyFill="1" applyBorder="1"/>
    <xf numFmtId="0" fontId="0" fillId="6" borderId="0" xfId="0" applyFill="1" applyBorder="1"/>
    <xf numFmtId="0" fontId="0" fillId="8" borderId="0" xfId="0" applyFill="1"/>
    <xf numFmtId="0" fontId="29" fillId="8" borderId="0" xfId="0" applyFont="1" applyFill="1" applyAlignment="1">
      <alignment vertical="center" wrapText="1"/>
    </xf>
    <xf numFmtId="0" fontId="29" fillId="8" borderId="0" xfId="0" applyFont="1" applyFill="1" applyAlignment="1">
      <alignment vertical="center"/>
    </xf>
    <xf numFmtId="0" fontId="28" fillId="6" borderId="0" xfId="0" applyNumberFormat="1" applyFont="1" applyFill="1"/>
    <xf numFmtId="0" fontId="33" fillId="6" borderId="0" xfId="0" applyFont="1" applyFill="1"/>
    <xf numFmtId="0" fontId="0" fillId="0" borderId="0" xfId="0"/>
    <xf numFmtId="0" fontId="0" fillId="0" borderId="0" xfId="0" applyNumberFormat="1"/>
    <xf numFmtId="164" fontId="0" fillId="0" borderId="0" xfId="0" applyNumberFormat="1"/>
    <xf numFmtId="0" fontId="22" fillId="3" borderId="0" xfId="1" applyFont="1" applyFill="1"/>
    <xf numFmtId="14" fontId="22" fillId="0" borderId="0" xfId="1" applyNumberFormat="1" applyFont="1"/>
    <xf numFmtId="0" fontId="22" fillId="0" borderId="0" xfId="1" applyFont="1"/>
    <xf numFmtId="17" fontId="23" fillId="0" borderId="0" xfId="1" applyNumberFormat="1" applyFill="1"/>
    <xf numFmtId="0" fontId="0" fillId="0" borderId="0" xfId="0" applyFill="1" applyBorder="1"/>
    <xf numFmtId="0" fontId="0" fillId="0" borderId="0" xfId="0" quotePrefix="1" applyAlignment="1">
      <alignment wrapText="1"/>
    </xf>
    <xf numFmtId="0" fontId="35" fillId="0" borderId="0" xfId="0" applyFont="1" applyFill="1" applyBorder="1" applyAlignment="1">
      <alignment vertical="center"/>
    </xf>
    <xf numFmtId="0" fontId="0" fillId="0" borderId="0" xfId="0" applyBorder="1" applyAlignment="1">
      <alignment wrapText="1"/>
    </xf>
    <xf numFmtId="0" fontId="29" fillId="6" borderId="0" xfId="0" applyFont="1" applyFill="1" applyAlignment="1">
      <alignment vertical="center"/>
    </xf>
    <xf numFmtId="0" fontId="28" fillId="0" borderId="0" xfId="0" applyNumberFormat="1" applyFont="1" applyFill="1"/>
    <xf numFmtId="0" fontId="0" fillId="0" borderId="10" xfId="0" applyBorder="1"/>
    <xf numFmtId="0" fontId="0" fillId="0" borderId="11" xfId="0" applyBorder="1"/>
    <xf numFmtId="0" fontId="0" fillId="0" borderId="12" xfId="0" applyBorder="1"/>
    <xf numFmtId="0" fontId="0" fillId="0" borderId="13" xfId="0" applyBorder="1"/>
    <xf numFmtId="0" fontId="0" fillId="0" borderId="14" xfId="0" applyBorder="1"/>
    <xf numFmtId="0" fontId="0" fillId="0" borderId="0" xfId="0" applyNumberFormat="1" applyBorder="1"/>
    <xf numFmtId="0" fontId="0" fillId="0" borderId="14" xfId="0" applyNumberFormat="1" applyBorder="1"/>
    <xf numFmtId="0" fontId="0" fillId="0" borderId="16" xfId="0" applyNumberFormat="1" applyBorder="1"/>
    <xf numFmtId="0" fontId="0" fillId="0" borderId="15" xfId="0" applyBorder="1"/>
    <xf numFmtId="0" fontId="0" fillId="0" borderId="17" xfId="0" applyBorder="1"/>
    <xf numFmtId="0" fontId="0" fillId="0" borderId="16" xfId="0" applyBorder="1"/>
    <xf numFmtId="166" fontId="0" fillId="0" borderId="0" xfId="2" applyNumberFormat="1" applyFont="1"/>
    <xf numFmtId="0" fontId="21" fillId="0" borderId="0" xfId="1" applyFont="1"/>
    <xf numFmtId="0" fontId="37" fillId="0" borderId="0" xfId="1" applyFont="1" applyFill="1"/>
    <xf numFmtId="0" fontId="21" fillId="0" borderId="0" xfId="1" applyFont="1" applyFill="1"/>
    <xf numFmtId="17" fontId="21" fillId="0" borderId="0" xfId="1" applyNumberFormat="1" applyFont="1"/>
    <xf numFmtId="0" fontId="39" fillId="0" borderId="0" xfId="0" applyFont="1"/>
    <xf numFmtId="0" fontId="38" fillId="9" borderId="1" xfId="0" applyNumberFormat="1" applyFont="1" applyFill="1" applyBorder="1" applyAlignment="1">
      <alignment wrapText="1"/>
    </xf>
    <xf numFmtId="0" fontId="20" fillId="0" borderId="0" xfId="0" applyFont="1" applyAlignment="1">
      <alignment wrapText="1"/>
    </xf>
    <xf numFmtId="0" fontId="40" fillId="0" borderId="0" xfId="0" applyFont="1" applyAlignment="1">
      <alignment wrapText="1"/>
    </xf>
    <xf numFmtId="0" fontId="39" fillId="11" borderId="0" xfId="0" applyFont="1" applyFill="1" applyBorder="1"/>
    <xf numFmtId="0" fontId="42" fillId="0" borderId="18" xfId="5"/>
    <xf numFmtId="0" fontId="0" fillId="0" borderId="0" xfId="0" applyFont="1"/>
    <xf numFmtId="0" fontId="43" fillId="0" borderId="0" xfId="6"/>
    <xf numFmtId="0" fontId="0" fillId="0" borderId="0" xfId="0" applyAlignment="1"/>
    <xf numFmtId="0" fontId="44" fillId="0" borderId="0" xfId="0" applyFont="1" applyAlignment="1">
      <alignment horizontal="left"/>
    </xf>
    <xf numFmtId="17" fontId="0" fillId="0" borderId="0" xfId="0" applyNumberFormat="1"/>
    <xf numFmtId="0" fontId="0" fillId="0" borderId="0" xfId="0" applyFont="1" applyFill="1" applyAlignment="1">
      <alignment horizontal="right"/>
    </xf>
    <xf numFmtId="0" fontId="0" fillId="0" borderId="0" xfId="8" applyFont="1"/>
    <xf numFmtId="0" fontId="39" fillId="0" borderId="0" xfId="1" applyFont="1"/>
    <xf numFmtId="0" fontId="19" fillId="20" borderId="19" xfId="1" applyFont="1" applyFill="1" applyBorder="1" applyAlignment="1">
      <alignment wrapText="1"/>
    </xf>
    <xf numFmtId="0" fontId="23" fillId="13" borderId="19" xfId="1" applyFill="1" applyBorder="1" applyAlignment="1">
      <alignment wrapText="1"/>
    </xf>
    <xf numFmtId="0" fontId="19" fillId="13" borderId="4" xfId="1" applyFont="1" applyFill="1" applyBorder="1" applyAlignment="1">
      <alignment wrapText="1"/>
    </xf>
    <xf numFmtId="0" fontId="23" fillId="17" borderId="19" xfId="1" applyFill="1" applyBorder="1" applyAlignment="1">
      <alignment wrapText="1"/>
    </xf>
    <xf numFmtId="0" fontId="19" fillId="17" borderId="19" xfId="1" applyFont="1" applyFill="1" applyBorder="1" applyAlignment="1">
      <alignment wrapText="1"/>
    </xf>
    <xf numFmtId="0" fontId="29" fillId="8" borderId="0" xfId="0" applyFont="1" applyFill="1" applyAlignment="1">
      <alignment horizontal="center" vertical="center" wrapText="1"/>
    </xf>
    <xf numFmtId="0" fontId="36" fillId="0" borderId="3" xfId="0" applyFont="1" applyBorder="1"/>
    <xf numFmtId="0" fontId="0" fillId="0" borderId="0" xfId="0" applyFont="1" applyFill="1"/>
    <xf numFmtId="0" fontId="0" fillId="0" borderId="0" xfId="0" applyFont="1" applyFill="1" applyBorder="1" applyAlignment="1">
      <alignment vertical="center"/>
    </xf>
    <xf numFmtId="0" fontId="0" fillId="8" borderId="0" xfId="0" applyFont="1" applyFill="1"/>
    <xf numFmtId="0" fontId="47" fillId="0" borderId="0" xfId="0" applyFont="1"/>
    <xf numFmtId="0" fontId="47" fillId="0" borderId="0" xfId="0" applyFont="1" applyFill="1" applyBorder="1"/>
    <xf numFmtId="0" fontId="47" fillId="0" borderId="0" xfId="0" applyFont="1" applyFill="1"/>
    <xf numFmtId="9" fontId="0" fillId="0" borderId="0" xfId="2" applyFont="1" applyFill="1"/>
    <xf numFmtId="0" fontId="17" fillId="20" borderId="19" xfId="1" applyFont="1" applyFill="1" applyBorder="1" applyAlignment="1">
      <alignment wrapText="1"/>
    </xf>
    <xf numFmtId="0" fontId="24" fillId="14" borderId="19" xfId="0" applyNumberFormat="1" applyFont="1" applyFill="1" applyBorder="1" applyAlignment="1" applyProtection="1">
      <alignment wrapText="1"/>
    </xf>
    <xf numFmtId="164" fontId="0" fillId="0" borderId="0" xfId="2" applyNumberFormat="1" applyFont="1"/>
    <xf numFmtId="0" fontId="17" fillId="3" borderId="0" xfId="1" applyFont="1" applyFill="1"/>
    <xf numFmtId="166" fontId="0" fillId="0" borderId="0" xfId="2" applyNumberFormat="1" applyFont="1" applyFill="1"/>
    <xf numFmtId="9" fontId="0" fillId="0" borderId="0" xfId="0" applyNumberFormat="1" applyFill="1"/>
    <xf numFmtId="14" fontId="16" fillId="0" borderId="0" xfId="1" applyNumberFormat="1" applyFont="1"/>
    <xf numFmtId="0" fontId="16" fillId="0" borderId="0" xfId="1" applyFont="1"/>
    <xf numFmtId="0" fontId="16" fillId="0" borderId="0" xfId="1" applyFont="1" applyFill="1"/>
    <xf numFmtId="0" fontId="15" fillId="0" borderId="0" xfId="1" applyFont="1" applyFill="1"/>
    <xf numFmtId="1" fontId="0" fillId="0" borderId="0" xfId="0" applyNumberFormat="1"/>
    <xf numFmtId="1" fontId="0" fillId="0" borderId="0" xfId="0" applyNumberFormat="1" applyFill="1"/>
    <xf numFmtId="0" fontId="19" fillId="13" borderId="19" xfId="1" applyFont="1" applyFill="1" applyBorder="1" applyAlignment="1">
      <alignment wrapText="1"/>
    </xf>
    <xf numFmtId="0" fontId="50" fillId="10" borderId="19" xfId="0" applyNumberFormat="1" applyFont="1" applyFill="1" applyBorder="1" applyAlignment="1" applyProtection="1">
      <alignment wrapText="1"/>
    </xf>
    <xf numFmtId="0" fontId="50" fillId="10" borderId="19" xfId="0" applyNumberFormat="1" applyFont="1" applyFill="1" applyBorder="1" applyAlignment="1" applyProtection="1">
      <alignment horizontal="left" wrapText="1"/>
    </xf>
    <xf numFmtId="9" fontId="0" fillId="0" borderId="0" xfId="2" applyNumberFormat="1" applyFont="1"/>
    <xf numFmtId="0" fontId="14" fillId="3" borderId="0" xfId="1" applyFont="1" applyFill="1"/>
    <xf numFmtId="0" fontId="14" fillId="0" borderId="0" xfId="1" applyFont="1"/>
    <xf numFmtId="14" fontId="14" fillId="0" borderId="0" xfId="1" applyNumberFormat="1" applyFont="1"/>
    <xf numFmtId="17" fontId="14" fillId="0" borderId="0" xfId="1" applyNumberFormat="1" applyFont="1"/>
    <xf numFmtId="0" fontId="14" fillId="0" borderId="0" xfId="1" applyFont="1" applyFill="1"/>
    <xf numFmtId="2" fontId="23" fillId="0" borderId="0" xfId="1" applyNumberFormat="1"/>
    <xf numFmtId="2" fontId="15" fillId="0" borderId="0" xfId="1" applyNumberFormat="1" applyFont="1"/>
    <xf numFmtId="2" fontId="23" fillId="0" borderId="0" xfId="1" applyNumberFormat="1" applyFill="1"/>
    <xf numFmtId="2" fontId="16" fillId="0" borderId="0" xfId="1" applyNumberFormat="1" applyFont="1"/>
    <xf numFmtId="0" fontId="24" fillId="16" borderId="4" xfId="0" applyNumberFormat="1" applyFont="1" applyFill="1" applyBorder="1" applyAlignment="1" applyProtection="1">
      <alignment horizontal="center" wrapText="1"/>
    </xf>
    <xf numFmtId="0" fontId="50" fillId="10" borderId="4" xfId="0" applyNumberFormat="1" applyFont="1" applyFill="1" applyBorder="1" applyAlignment="1" applyProtection="1">
      <alignment horizontal="left" wrapText="1"/>
    </xf>
    <xf numFmtId="0" fontId="50" fillId="10" borderId="6" xfId="0" applyNumberFormat="1" applyFont="1" applyFill="1" applyBorder="1" applyAlignment="1" applyProtection="1">
      <alignment horizontal="left" wrapText="1"/>
    </xf>
    <xf numFmtId="17" fontId="12" fillId="0" borderId="0" xfId="1" applyNumberFormat="1" applyFont="1"/>
    <xf numFmtId="0" fontId="12" fillId="0" borderId="0" xfId="1" applyFont="1" applyFill="1"/>
    <xf numFmtId="17" fontId="12" fillId="0" borderId="0" xfId="1" applyNumberFormat="1" applyFont="1" applyFill="1"/>
    <xf numFmtId="14" fontId="12" fillId="0" borderId="0" xfId="1" applyNumberFormat="1" applyFont="1"/>
    <xf numFmtId="0" fontId="12" fillId="0" borderId="0" xfId="1" applyFont="1"/>
    <xf numFmtId="0" fontId="12" fillId="3" borderId="0" xfId="1" applyFont="1" applyFill="1"/>
    <xf numFmtId="0" fontId="29" fillId="0" borderId="0" xfId="0" applyFont="1" applyFill="1" applyAlignment="1">
      <alignment vertical="center"/>
    </xf>
    <xf numFmtId="0" fontId="0" fillId="7" borderId="0" xfId="0" applyFont="1" applyFill="1"/>
    <xf numFmtId="0" fontId="26" fillId="7" borderId="0" xfId="0" applyFont="1" applyFill="1"/>
    <xf numFmtId="0" fontId="0" fillId="0" borderId="24" xfId="0" applyFont="1" applyFill="1" applyBorder="1"/>
    <xf numFmtId="0" fontId="0" fillId="0" borderId="24" xfId="0" applyBorder="1"/>
    <xf numFmtId="0" fontId="0" fillId="0" borderId="24" xfId="0" applyFill="1" applyBorder="1"/>
    <xf numFmtId="0" fontId="0" fillId="0" borderId="25" xfId="0" applyFont="1" applyFill="1" applyBorder="1"/>
    <xf numFmtId="0" fontId="0" fillId="0" borderId="25" xfId="0" applyBorder="1"/>
    <xf numFmtId="0" fontId="0" fillId="0" borderId="25" xfId="0" applyFill="1" applyBorder="1"/>
    <xf numFmtId="0" fontId="0" fillId="0" borderId="26" xfId="0" applyFont="1" applyFill="1" applyBorder="1"/>
    <xf numFmtId="0" fontId="0" fillId="0" borderId="26" xfId="0" applyBorder="1"/>
    <xf numFmtId="0" fontId="0" fillId="0" borderId="26" xfId="0" applyFill="1" applyBorder="1"/>
    <xf numFmtId="0" fontId="0" fillId="0" borderId="10" xfId="0" applyBorder="1" applyAlignment="1">
      <alignment horizontal="center" vertical="center"/>
    </xf>
    <xf numFmtId="0" fontId="26" fillId="0" borderId="11" xfId="0" applyFont="1" applyBorder="1"/>
    <xf numFmtId="0" fontId="26" fillId="0" borderId="13" xfId="0" applyFont="1" applyBorder="1"/>
    <xf numFmtId="0" fontId="0" fillId="0" borderId="0" xfId="0" pivotButton="1" applyBorder="1"/>
    <xf numFmtId="0" fontId="0" fillId="0" borderId="0" xfId="0" applyBorder="1" applyAlignment="1">
      <alignment horizontal="left" indent="1"/>
    </xf>
    <xf numFmtId="2" fontId="0" fillId="0" borderId="0" xfId="0" applyNumberFormat="1" applyBorder="1"/>
    <xf numFmtId="17" fontId="0" fillId="0" borderId="0" xfId="0" applyNumberFormat="1" applyBorder="1"/>
    <xf numFmtId="0" fontId="0" fillId="0" borderId="0" xfId="0" applyBorder="1" applyAlignment="1">
      <alignment horizontal="left"/>
    </xf>
    <xf numFmtId="0" fontId="34" fillId="0" borderId="0" xfId="0" applyFont="1" applyFill="1" applyBorder="1"/>
    <xf numFmtId="0" fontId="26" fillId="0" borderId="0" xfId="0" applyFont="1" applyBorder="1"/>
    <xf numFmtId="0" fontId="0" fillId="0" borderId="0" xfId="0" applyFont="1" applyFill="1" applyBorder="1"/>
    <xf numFmtId="0" fontId="49" fillId="0" borderId="0" xfId="0" applyFont="1" applyFill="1" applyBorder="1"/>
    <xf numFmtId="0" fontId="0" fillId="0" borderId="14" xfId="0" applyFill="1" applyBorder="1"/>
    <xf numFmtId="0" fontId="26" fillId="0" borderId="14" xfId="0" applyFont="1" applyBorder="1"/>
    <xf numFmtId="9" fontId="0" fillId="0" borderId="16" xfId="2" applyFont="1" applyBorder="1"/>
    <xf numFmtId="9" fontId="0" fillId="0" borderId="17" xfId="2" applyFont="1" applyBorder="1"/>
    <xf numFmtId="0" fontId="0" fillId="7" borderId="0" xfId="0" applyFill="1" applyAlignment="1">
      <alignment horizontal="left" indent="1"/>
    </xf>
    <xf numFmtId="0" fontId="0" fillId="7" borderId="0" xfId="0" applyNumberFormat="1" applyFill="1"/>
    <xf numFmtId="0" fontId="0" fillId="0" borderId="29" xfId="0" applyBorder="1" applyAlignment="1">
      <alignment horizontal="left" indent="1"/>
    </xf>
    <xf numFmtId="2" fontId="0" fillId="0" borderId="23" xfId="0" applyNumberFormat="1" applyBorder="1"/>
    <xf numFmtId="2" fontId="0" fillId="0" borderId="30" xfId="0" applyNumberFormat="1" applyBorder="1"/>
    <xf numFmtId="0" fontId="0" fillId="0" borderId="2" xfId="0" applyBorder="1" applyAlignment="1">
      <alignment horizontal="left" indent="1"/>
    </xf>
    <xf numFmtId="2" fontId="0" fillId="0" borderId="9" xfId="0" applyNumberFormat="1" applyBorder="1"/>
    <xf numFmtId="0" fontId="0" fillId="0" borderId="19" xfId="0" applyBorder="1" applyAlignment="1">
      <alignment horizontal="left" indent="1"/>
    </xf>
    <xf numFmtId="2" fontId="0" fillId="0" borderId="3" xfId="0" applyNumberFormat="1" applyBorder="1"/>
    <xf numFmtId="2" fontId="0" fillId="0" borderId="31" xfId="0" applyNumberFormat="1" applyBorder="1"/>
    <xf numFmtId="0" fontId="0" fillId="0" borderId="32" xfId="0" applyFont="1" applyBorder="1" applyAlignment="1">
      <alignment horizontal="left"/>
    </xf>
    <xf numFmtId="0" fontId="0" fillId="0" borderId="33" xfId="0" applyFont="1" applyBorder="1"/>
    <xf numFmtId="0" fontId="0" fillId="0" borderId="34" xfId="0" applyFont="1" applyBorder="1" applyAlignment="1">
      <alignment horizontal="left"/>
    </xf>
    <xf numFmtId="0" fontId="0" fillId="0" borderId="33" xfId="0" applyBorder="1"/>
    <xf numFmtId="0" fontId="0" fillId="0" borderId="8" xfId="0" applyBorder="1"/>
    <xf numFmtId="0" fontId="26" fillId="21" borderId="4" xfId="0" applyNumberFormat="1" applyFont="1" applyFill="1" applyBorder="1"/>
    <xf numFmtId="0" fontId="26" fillId="21" borderId="6" xfId="0" applyNumberFormat="1" applyFont="1" applyFill="1" applyBorder="1"/>
    <xf numFmtId="0" fontId="26" fillId="21" borderId="5" xfId="0" applyNumberFormat="1" applyFont="1" applyFill="1" applyBorder="1"/>
    <xf numFmtId="0" fontId="26" fillId="0" borderId="23" xfId="0" applyFont="1" applyFill="1" applyBorder="1"/>
    <xf numFmtId="0" fontId="26" fillId="0" borderId="23" xfId="0" applyFont="1" applyBorder="1"/>
    <xf numFmtId="0" fontId="26" fillId="0" borderId="30" xfId="0" applyFont="1" applyFill="1" applyBorder="1"/>
    <xf numFmtId="0" fontId="0" fillId="0" borderId="9" xfId="0" applyFont="1" applyFill="1" applyBorder="1"/>
    <xf numFmtId="0" fontId="0" fillId="0" borderId="9" xfId="0" applyFill="1" applyBorder="1"/>
    <xf numFmtId="0" fontId="0" fillId="0" borderId="3" xfId="0" applyFill="1" applyBorder="1"/>
    <xf numFmtId="0" fontId="0" fillId="0" borderId="31" xfId="0" applyFill="1" applyBorder="1"/>
    <xf numFmtId="0" fontId="0" fillId="0" borderId="7" xfId="0" applyBorder="1"/>
    <xf numFmtId="0" fontId="24" fillId="16" borderId="6" xfId="0" applyNumberFormat="1" applyFont="1" applyFill="1" applyBorder="1" applyAlignment="1" applyProtection="1">
      <alignment horizontal="center" wrapText="1"/>
    </xf>
    <xf numFmtId="0" fontId="47" fillId="0" borderId="0" xfId="0" applyFont="1" applyFill="1" applyBorder="1" applyAlignment="1">
      <alignment vertical="center"/>
    </xf>
    <xf numFmtId="0" fontId="47" fillId="0" borderId="0" xfId="0" applyFont="1" applyBorder="1" applyAlignment="1">
      <alignment horizontal="center" vertical="center"/>
    </xf>
    <xf numFmtId="0" fontId="47" fillId="0" borderId="0" xfId="0" applyFont="1" applyBorder="1" applyAlignment="1">
      <alignment wrapText="1"/>
    </xf>
    <xf numFmtId="0" fontId="51" fillId="0" borderId="0" xfId="0" applyFont="1" applyFill="1" applyBorder="1"/>
    <xf numFmtId="0" fontId="45" fillId="0" borderId="0" xfId="0" applyFont="1" applyFill="1" applyBorder="1" applyAlignment="1">
      <alignment horizontal="right"/>
    </xf>
    <xf numFmtId="0" fontId="45" fillId="0" borderId="0" xfId="0" applyFont="1" applyFill="1" applyBorder="1" applyAlignment="1">
      <alignment horizontal="right" vertical="center"/>
    </xf>
    <xf numFmtId="0" fontId="45" fillId="0" borderId="0" xfId="4" applyNumberFormat="1" applyFont="1" applyFill="1" applyBorder="1" applyAlignment="1">
      <alignment horizontal="right"/>
    </xf>
    <xf numFmtId="9" fontId="45" fillId="0" borderId="0" xfId="2" applyFont="1" applyFill="1" applyBorder="1" applyAlignment="1">
      <alignment horizontal="right"/>
    </xf>
    <xf numFmtId="0" fontId="45" fillId="0" borderId="0" xfId="0" applyFont="1" applyFill="1" applyBorder="1" applyAlignment="1">
      <alignment vertical="center"/>
    </xf>
    <xf numFmtId="0" fontId="52" fillId="0" borderId="0" xfId="0" applyFont="1"/>
    <xf numFmtId="0" fontId="55" fillId="0" borderId="0" xfId="0" applyFont="1" applyFill="1" applyBorder="1" applyAlignment="1"/>
    <xf numFmtId="0" fontId="52" fillId="0" borderId="0" xfId="0" applyFont="1" applyFill="1" applyBorder="1"/>
    <xf numFmtId="0" fontId="56" fillId="0" borderId="0" xfId="0" applyFont="1"/>
    <xf numFmtId="0" fontId="56" fillId="5" borderId="0" xfId="0" applyFont="1" applyFill="1" applyBorder="1" applyAlignment="1">
      <alignment vertical="center"/>
    </xf>
    <xf numFmtId="0" fontId="52" fillId="5" borderId="0" xfId="0" applyFont="1" applyFill="1"/>
    <xf numFmtId="0" fontId="56" fillId="0" borderId="0" xfId="0" applyFont="1" applyBorder="1" applyAlignment="1">
      <alignment horizontal="left" vertical="center"/>
    </xf>
    <xf numFmtId="0" fontId="46" fillId="0" borderId="0" xfId="0" applyFont="1" applyBorder="1"/>
    <xf numFmtId="0" fontId="0" fillId="8" borderId="0" xfId="0" applyFont="1" applyFill="1" applyAlignment="1">
      <alignment vertical="center"/>
    </xf>
    <xf numFmtId="0" fontId="54" fillId="0" borderId="36" xfId="0" applyFont="1" applyBorder="1" applyAlignment="1">
      <alignment vertical="center"/>
    </xf>
    <xf numFmtId="0" fontId="54" fillId="0" borderId="0" xfId="0" applyFont="1" applyBorder="1" applyAlignment="1">
      <alignment vertical="center"/>
    </xf>
    <xf numFmtId="0" fontId="54" fillId="5" borderId="0" xfId="0" applyFont="1" applyFill="1" applyBorder="1" applyAlignment="1">
      <alignment vertical="center"/>
    </xf>
    <xf numFmtId="0" fontId="12" fillId="0" borderId="0" xfId="0" applyFont="1" applyFill="1"/>
    <xf numFmtId="0" fontId="12" fillId="5" borderId="0" xfId="0" applyFont="1" applyFill="1"/>
    <xf numFmtId="0" fontId="54" fillId="0" borderId="0" xfId="0" applyFont="1" applyFill="1"/>
    <xf numFmtId="0" fontId="54" fillId="5" borderId="0" xfId="0" applyFont="1" applyFill="1"/>
    <xf numFmtId="0" fontId="56" fillId="0" borderId="0" xfId="0" applyFont="1" applyFill="1"/>
    <xf numFmtId="0" fontId="56" fillId="5" borderId="0" xfId="0" applyFont="1" applyFill="1"/>
    <xf numFmtId="0" fontId="52" fillId="22" borderId="36" xfId="0" applyFont="1" applyFill="1" applyBorder="1" applyAlignment="1">
      <alignment wrapText="1"/>
    </xf>
    <xf numFmtId="0" fontId="58" fillId="22" borderId="0" xfId="0" applyFont="1" applyFill="1" applyBorder="1" applyAlignment="1">
      <alignment wrapText="1"/>
    </xf>
    <xf numFmtId="0" fontId="52" fillId="22" borderId="0" xfId="0" applyFont="1" applyFill="1" applyBorder="1" applyAlignment="1">
      <alignment wrapText="1"/>
    </xf>
    <xf numFmtId="0" fontId="58" fillId="22" borderId="37" xfId="0" applyFont="1" applyFill="1" applyBorder="1" applyAlignment="1">
      <alignment wrapText="1"/>
    </xf>
    <xf numFmtId="0" fontId="0" fillId="5" borderId="0" xfId="0" applyFill="1" applyBorder="1"/>
    <xf numFmtId="0" fontId="52" fillId="0" borderId="0" xfId="0" applyFont="1" applyFill="1"/>
    <xf numFmtId="0" fontId="52" fillId="0" borderId="37" xfId="0" applyFont="1" applyFill="1" applyBorder="1"/>
    <xf numFmtId="1" fontId="52" fillId="5" borderId="0" xfId="0" applyNumberFormat="1" applyFont="1" applyFill="1" applyBorder="1"/>
    <xf numFmtId="0" fontId="52" fillId="5" borderId="0" xfId="0" applyFont="1" applyFill="1" applyBorder="1"/>
    <xf numFmtId="0" fontId="52" fillId="5" borderId="37" xfId="0" applyFont="1" applyFill="1" applyBorder="1"/>
    <xf numFmtId="1" fontId="52" fillId="0" borderId="0" xfId="0" applyNumberFormat="1" applyFont="1" applyFill="1" applyBorder="1"/>
    <xf numFmtId="0" fontId="47" fillId="0" borderId="0" xfId="0" applyFont="1" applyAlignment="1">
      <alignment wrapText="1"/>
    </xf>
    <xf numFmtId="0" fontId="47" fillId="0" borderId="3" xfId="0" applyFont="1" applyFill="1" applyBorder="1"/>
    <xf numFmtId="0" fontId="47" fillId="0" borderId="3" xfId="0" applyFont="1" applyBorder="1"/>
    <xf numFmtId="0" fontId="26" fillId="22" borderId="0" xfId="0" applyFont="1" applyFill="1"/>
    <xf numFmtId="0" fontId="0" fillId="22" borderId="0" xfId="0" applyFont="1" applyFill="1"/>
    <xf numFmtId="0" fontId="13" fillId="0" borderId="0" xfId="1" applyFont="1" applyFill="1"/>
    <xf numFmtId="0" fontId="12" fillId="0" borderId="0" xfId="0" applyFont="1" applyAlignment="1">
      <alignment wrapText="1"/>
    </xf>
    <xf numFmtId="0" fontId="23" fillId="23" borderId="19" xfId="1" applyFill="1" applyBorder="1" applyAlignment="1">
      <alignment wrapText="1"/>
    </xf>
    <xf numFmtId="0" fontId="19" fillId="23" borderId="19" xfId="1" applyFont="1" applyFill="1" applyBorder="1" applyAlignment="1">
      <alignment wrapText="1"/>
    </xf>
    <xf numFmtId="0" fontId="24" fillId="24" borderId="19" xfId="0" applyNumberFormat="1" applyFont="1" applyFill="1" applyBorder="1" applyAlignment="1" applyProtection="1">
      <alignment wrapText="1"/>
    </xf>
    <xf numFmtId="0" fontId="23" fillId="25" borderId="19" xfId="1" applyFill="1" applyBorder="1" applyAlignment="1">
      <alignment wrapText="1"/>
    </xf>
    <xf numFmtId="0" fontId="19" fillId="25" borderId="4" xfId="1" applyFont="1" applyFill="1" applyBorder="1" applyAlignment="1">
      <alignment wrapText="1"/>
    </xf>
    <xf numFmtId="0" fontId="24" fillId="26" borderId="4" xfId="0" applyNumberFormat="1" applyFont="1" applyFill="1" applyBorder="1" applyAlignment="1" applyProtection="1">
      <alignment wrapText="1"/>
    </xf>
    <xf numFmtId="0" fontId="24" fillId="5" borderId="1" xfId="0" applyNumberFormat="1" applyFont="1" applyFill="1" applyBorder="1" applyAlignment="1" applyProtection="1">
      <alignment wrapText="1"/>
    </xf>
    <xf numFmtId="0" fontId="24" fillId="2" borderId="3" xfId="0" applyNumberFormat="1" applyFont="1" applyFill="1" applyBorder="1" applyAlignment="1" applyProtection="1">
      <alignment wrapText="1"/>
    </xf>
    <xf numFmtId="0" fontId="48" fillId="5" borderId="2" xfId="1" applyFont="1" applyFill="1" applyBorder="1" applyAlignment="1">
      <alignment horizontal="right"/>
    </xf>
    <xf numFmtId="0" fontId="39" fillId="5" borderId="2" xfId="1" applyFont="1" applyFill="1" applyBorder="1" applyAlignment="1">
      <alignment horizontal="right" wrapText="1"/>
    </xf>
    <xf numFmtId="0" fontId="39" fillId="5" borderId="19" xfId="1" applyFont="1" applyFill="1" applyBorder="1" applyAlignment="1">
      <alignment horizontal="right" vertical="top" wrapText="1"/>
    </xf>
    <xf numFmtId="0" fontId="23" fillId="23" borderId="42" xfId="1" applyFill="1" applyBorder="1" applyAlignment="1">
      <alignment wrapText="1"/>
    </xf>
    <xf numFmtId="0" fontId="19" fillId="23" borderId="42" xfId="1" applyFont="1" applyFill="1" applyBorder="1" applyAlignment="1">
      <alignment wrapText="1"/>
    </xf>
    <xf numFmtId="0" fontId="24" fillId="24" borderId="42" xfId="0" applyNumberFormat="1" applyFont="1" applyFill="1" applyBorder="1" applyAlignment="1" applyProtection="1">
      <alignment wrapText="1"/>
    </xf>
    <xf numFmtId="0" fontId="23" fillId="23" borderId="41" xfId="1" applyFill="1" applyBorder="1" applyAlignment="1">
      <alignment wrapText="1"/>
    </xf>
    <xf numFmtId="0" fontId="19" fillId="23" borderId="41" xfId="1" applyFont="1" applyFill="1" applyBorder="1" applyAlignment="1">
      <alignment wrapText="1"/>
    </xf>
    <xf numFmtId="0" fontId="50" fillId="24" borderId="41" xfId="0" applyNumberFormat="1" applyFont="1" applyFill="1" applyBorder="1" applyAlignment="1" applyProtection="1">
      <alignment wrapText="1"/>
    </xf>
    <xf numFmtId="0" fontId="23" fillId="25" borderId="41" xfId="1" applyFill="1" applyBorder="1" applyAlignment="1">
      <alignment wrapText="1"/>
    </xf>
    <xf numFmtId="0" fontId="23" fillId="25" borderId="42" xfId="1" applyFill="1" applyBorder="1" applyAlignment="1">
      <alignment wrapText="1"/>
    </xf>
    <xf numFmtId="0" fontId="19" fillId="25" borderId="44" xfId="1" applyFont="1" applyFill="1" applyBorder="1" applyAlignment="1">
      <alignment wrapText="1"/>
    </xf>
    <xf numFmtId="0" fontId="19" fillId="25" borderId="43" xfId="1" applyFont="1" applyFill="1" applyBorder="1" applyAlignment="1">
      <alignment wrapText="1"/>
    </xf>
    <xf numFmtId="0" fontId="24" fillId="26" borderId="44" xfId="0" applyNumberFormat="1" applyFont="1" applyFill="1" applyBorder="1" applyAlignment="1" applyProtection="1">
      <alignment wrapText="1"/>
    </xf>
    <xf numFmtId="0" fontId="24" fillId="26" borderId="43" xfId="0" applyNumberFormat="1" applyFont="1" applyFill="1" applyBorder="1" applyAlignment="1" applyProtection="1">
      <alignment wrapText="1"/>
    </xf>
    <xf numFmtId="0" fontId="26" fillId="7" borderId="0" xfId="0" applyFont="1" applyFill="1" applyAlignment="1">
      <alignment horizontal="left" vertical="center"/>
    </xf>
    <xf numFmtId="14" fontId="0" fillId="0" borderId="0" xfId="0" applyNumberFormat="1" applyBorder="1" applyAlignment="1">
      <alignment horizontal="left"/>
    </xf>
    <xf numFmtId="14" fontId="0" fillId="0" borderId="16" xfId="0" applyNumberFormat="1" applyBorder="1" applyAlignment="1">
      <alignment horizontal="left"/>
    </xf>
    <xf numFmtId="0" fontId="0" fillId="0" borderId="13" xfId="0" applyBorder="1" applyAlignment="1">
      <alignment wrapText="1"/>
    </xf>
    <xf numFmtId="9" fontId="0" fillId="4" borderId="0" xfId="0" applyNumberFormat="1" applyFill="1" applyBorder="1" applyAlignment="1">
      <alignment wrapText="1"/>
    </xf>
    <xf numFmtId="0" fontId="0" fillId="4" borderId="0" xfId="0" applyFill="1" applyBorder="1" applyAlignment="1">
      <alignment wrapText="1"/>
    </xf>
    <xf numFmtId="0" fontId="0" fillId="0" borderId="14" xfId="0" applyBorder="1" applyAlignment="1">
      <alignment wrapText="1"/>
    </xf>
    <xf numFmtId="0" fontId="0" fillId="4" borderId="0" xfId="0" applyNumberFormat="1" applyFill="1" applyBorder="1"/>
    <xf numFmtId="0" fontId="0" fillId="4" borderId="0" xfId="0" applyFill="1" applyBorder="1"/>
    <xf numFmtId="9" fontId="0" fillId="5" borderId="0" xfId="2" applyFont="1" applyFill="1" applyBorder="1"/>
    <xf numFmtId="165" fontId="0" fillId="5" borderId="0" xfId="4" applyNumberFormat="1" applyFont="1" applyFill="1" applyBorder="1"/>
    <xf numFmtId="0" fontId="0" fillId="5" borderId="16" xfId="0" applyFill="1" applyBorder="1"/>
    <xf numFmtId="9" fontId="0" fillId="5" borderId="16" xfId="2" applyFont="1" applyFill="1" applyBorder="1"/>
    <xf numFmtId="165" fontId="0" fillId="5" borderId="16" xfId="4" applyNumberFormat="1" applyFont="1" applyFill="1" applyBorder="1"/>
    <xf numFmtId="0" fontId="0" fillId="4" borderId="14" xfId="0" applyNumberFormat="1" applyFill="1" applyBorder="1"/>
    <xf numFmtId="0" fontId="0" fillId="5" borderId="0" xfId="0" applyNumberFormat="1" applyFill="1" applyBorder="1" applyAlignment="1">
      <alignment horizontal="left"/>
    </xf>
    <xf numFmtId="0" fontId="0" fillId="5" borderId="27" xfId="0" applyFill="1" applyBorder="1"/>
    <xf numFmtId="0" fontId="0" fillId="0" borderId="28" xfId="0" applyBorder="1" applyAlignment="1">
      <alignment wrapText="1"/>
    </xf>
    <xf numFmtId="0" fontId="0" fillId="4" borderId="45" xfId="0" applyFill="1" applyBorder="1" applyAlignment="1">
      <alignment wrapText="1"/>
    </xf>
    <xf numFmtId="0" fontId="39" fillId="5" borderId="5" xfId="1" applyFont="1" applyFill="1" applyBorder="1" applyAlignment="1">
      <alignment horizontal="right" wrapText="1"/>
    </xf>
    <xf numFmtId="0" fontId="39" fillId="5" borderId="5" xfId="1" applyFont="1" applyFill="1" applyBorder="1" applyAlignment="1">
      <alignment horizontal="right" vertical="top" wrapText="1"/>
    </xf>
    <xf numFmtId="0" fontId="25" fillId="20" borderId="19" xfId="1" applyFont="1" applyFill="1" applyBorder="1" applyAlignment="1">
      <alignment wrapText="1"/>
    </xf>
    <xf numFmtId="0" fontId="25" fillId="13" borderId="19" xfId="1" applyFont="1" applyFill="1" applyBorder="1" applyAlignment="1">
      <alignment wrapText="1"/>
    </xf>
    <xf numFmtId="0" fontId="25" fillId="17" borderId="3" xfId="1" applyFont="1" applyFill="1" applyBorder="1" applyAlignment="1">
      <alignment wrapText="1"/>
    </xf>
    <xf numFmtId="0" fontId="25" fillId="17" borderId="19" xfId="1" applyFont="1" applyFill="1" applyBorder="1" applyAlignment="1">
      <alignment wrapText="1"/>
    </xf>
    <xf numFmtId="0" fontId="25" fillId="23" borderId="41" xfId="1" applyFont="1" applyFill="1" applyBorder="1" applyAlignment="1">
      <alignment wrapText="1"/>
    </xf>
    <xf numFmtId="0" fontId="25" fillId="23" borderId="19" xfId="1" applyFont="1" applyFill="1" applyBorder="1" applyAlignment="1">
      <alignment wrapText="1"/>
    </xf>
    <xf numFmtId="0" fontId="25" fillId="23" borderId="42" xfId="1" applyFont="1" applyFill="1" applyBorder="1" applyAlignment="1">
      <alignment wrapText="1"/>
    </xf>
    <xf numFmtId="0" fontId="25" fillId="13" borderId="4" xfId="1" applyFont="1" applyFill="1" applyBorder="1" applyAlignment="1">
      <alignment wrapText="1"/>
    </xf>
    <xf numFmtId="0" fontId="25" fillId="25" borderId="44" xfId="1" applyFont="1" applyFill="1" applyBorder="1" applyAlignment="1">
      <alignment wrapText="1"/>
    </xf>
    <xf numFmtId="0" fontId="25" fillId="25" borderId="4" xfId="1" applyFont="1" applyFill="1" applyBorder="1" applyAlignment="1">
      <alignment wrapText="1"/>
    </xf>
    <xf numFmtId="0" fontId="25" fillId="25" borderId="43" xfId="1" applyFont="1" applyFill="1" applyBorder="1" applyAlignment="1">
      <alignment wrapText="1"/>
    </xf>
    <xf numFmtId="0" fontId="48" fillId="5" borderId="46" xfId="1" applyFont="1" applyFill="1" applyBorder="1" applyAlignment="1"/>
    <xf numFmtId="0" fontId="48" fillId="5" borderId="47" xfId="1" applyFont="1" applyFill="1" applyBorder="1" applyAlignment="1"/>
    <xf numFmtId="0" fontId="39" fillId="5" borderId="4" xfId="1" applyFont="1" applyFill="1" applyBorder="1" applyAlignment="1">
      <alignment wrapText="1"/>
    </xf>
    <xf numFmtId="0" fontId="39" fillId="5" borderId="6" xfId="1" applyFont="1" applyFill="1" applyBorder="1" applyAlignment="1">
      <alignment wrapText="1"/>
    </xf>
    <xf numFmtId="0" fontId="39" fillId="5" borderId="4" xfId="1" applyFont="1" applyFill="1" applyBorder="1" applyAlignment="1">
      <alignment vertical="top" wrapText="1"/>
    </xf>
    <xf numFmtId="0" fontId="39" fillId="5" borderId="6" xfId="1" applyFont="1" applyFill="1" applyBorder="1" applyAlignment="1">
      <alignment vertical="top" wrapText="1"/>
    </xf>
    <xf numFmtId="0" fontId="48" fillId="5" borderId="48" xfId="1" applyFont="1" applyFill="1" applyBorder="1" applyAlignment="1">
      <alignment horizontal="right"/>
    </xf>
    <xf numFmtId="0" fontId="25" fillId="13" borderId="3" xfId="1" applyFont="1" applyFill="1" applyBorder="1" applyAlignment="1">
      <alignment wrapText="1"/>
    </xf>
    <xf numFmtId="0" fontId="25" fillId="13" borderId="6" xfId="1" applyFont="1" applyFill="1" applyBorder="1" applyAlignment="1">
      <alignment wrapText="1"/>
    </xf>
    <xf numFmtId="0" fontId="26" fillId="7" borderId="29" xfId="0" applyFont="1" applyFill="1" applyBorder="1"/>
    <xf numFmtId="0" fontId="0" fillId="7" borderId="23" xfId="0" applyFill="1" applyBorder="1"/>
    <xf numFmtId="0" fontId="0" fillId="7" borderId="30" xfId="0" applyFill="1" applyBorder="1"/>
    <xf numFmtId="0" fontId="26" fillId="0" borderId="2" xfId="0" applyFont="1" applyBorder="1"/>
    <xf numFmtId="0" fontId="26" fillId="0" borderId="9" xfId="0" applyFont="1" applyBorder="1"/>
    <xf numFmtId="0" fontId="0" fillId="0" borderId="2" xfId="0" applyBorder="1"/>
    <xf numFmtId="0" fontId="0" fillId="0" borderId="9" xfId="0" applyBorder="1"/>
    <xf numFmtId="0" fontId="0" fillId="0" borderId="19" xfId="0" applyBorder="1"/>
    <xf numFmtId="0" fontId="0" fillId="0" borderId="31" xfId="0" applyBorder="1"/>
    <xf numFmtId="0" fontId="26" fillId="5" borderId="1" xfId="0" applyNumberFormat="1" applyFont="1" applyFill="1" applyBorder="1" applyAlignment="1" applyProtection="1">
      <alignment wrapText="1"/>
    </xf>
    <xf numFmtId="0" fontId="26" fillId="5" borderId="4" xfId="0" applyNumberFormat="1" applyFont="1" applyFill="1" applyBorder="1" applyAlignment="1" applyProtection="1">
      <alignment wrapText="1"/>
    </xf>
    <xf numFmtId="0" fontId="26" fillId="2" borderId="1" xfId="0" applyNumberFormat="1" applyFont="1" applyFill="1" applyBorder="1" applyAlignment="1" applyProtection="1">
      <alignment wrapText="1"/>
    </xf>
    <xf numFmtId="0" fontId="26" fillId="14" borderId="19" xfId="0" applyNumberFormat="1" applyFont="1" applyFill="1" applyBorder="1" applyAlignment="1" applyProtection="1">
      <alignment wrapText="1"/>
    </xf>
    <xf numFmtId="0" fontId="26" fillId="10" borderId="4" xfId="0" applyNumberFormat="1" applyFont="1" applyFill="1" applyBorder="1" applyAlignment="1" applyProtection="1">
      <alignment wrapText="1"/>
    </xf>
    <xf numFmtId="9" fontId="26" fillId="16" borderId="6" xfId="2" applyFont="1" applyFill="1" applyBorder="1" applyAlignment="1" applyProtection="1">
      <alignment wrapText="1"/>
    </xf>
    <xf numFmtId="0" fontId="26" fillId="16" borderId="4" xfId="0" applyNumberFormat="1" applyFont="1" applyFill="1" applyBorder="1" applyAlignment="1" applyProtection="1">
      <alignment wrapText="1"/>
    </xf>
    <xf numFmtId="0" fontId="26" fillId="24" borderId="44" xfId="0" applyNumberFormat="1" applyFont="1" applyFill="1" applyBorder="1" applyAlignment="1" applyProtection="1">
      <alignment wrapText="1"/>
    </xf>
    <xf numFmtId="0" fontId="26" fillId="24" borderId="4" xfId="0" applyNumberFormat="1" applyFont="1" applyFill="1" applyBorder="1" applyAlignment="1" applyProtection="1">
      <alignment wrapText="1"/>
    </xf>
    <xf numFmtId="0" fontId="26" fillId="24" borderId="43" xfId="0" applyNumberFormat="1" applyFont="1" applyFill="1" applyBorder="1" applyAlignment="1" applyProtection="1">
      <alignment wrapText="1"/>
    </xf>
    <xf numFmtId="0" fontId="26" fillId="26" borderId="44" xfId="0" applyNumberFormat="1" applyFont="1" applyFill="1" applyBorder="1" applyAlignment="1" applyProtection="1">
      <alignment wrapText="1"/>
    </xf>
    <xf numFmtId="0" fontId="26" fillId="26" borderId="4" xfId="0" applyNumberFormat="1" applyFont="1" applyFill="1" applyBorder="1" applyAlignment="1" applyProtection="1">
      <alignment wrapText="1"/>
    </xf>
    <xf numFmtId="0" fontId="26" fillId="26" borderId="43" xfId="0" applyNumberFormat="1" applyFont="1" applyFill="1" applyBorder="1" applyAlignment="1" applyProtection="1">
      <alignment wrapText="1"/>
    </xf>
    <xf numFmtId="0" fontId="26" fillId="0" borderId="0" xfId="1" applyFont="1"/>
    <xf numFmtId="168" fontId="0" fillId="0" borderId="0" xfId="17" applyNumberFormat="1" applyFont="1" applyFill="1"/>
    <xf numFmtId="0" fontId="39" fillId="0" borderId="0" xfId="0" applyFont="1" applyFill="1" applyBorder="1"/>
    <xf numFmtId="0" fontId="61" fillId="0" borderId="0" xfId="6" applyFont="1" applyAlignment="1">
      <alignment horizontal="right"/>
    </xf>
    <xf numFmtId="0" fontId="62" fillId="0" borderId="0" xfId="0" applyFont="1" applyFill="1" applyAlignment="1">
      <alignment horizontal="right"/>
    </xf>
    <xf numFmtId="0" fontId="63" fillId="0" borderId="0" xfId="0" applyFont="1" applyFill="1" applyBorder="1" applyAlignment="1">
      <alignment horizontal="right"/>
    </xf>
    <xf numFmtId="0" fontId="63" fillId="0" borderId="0" xfId="0" applyFont="1" applyFill="1" applyBorder="1" applyAlignment="1">
      <alignment horizontal="right" vertical="center"/>
    </xf>
    <xf numFmtId="0" fontId="62" fillId="0" borderId="0" xfId="0" applyFont="1" applyAlignment="1">
      <alignment horizontal="right"/>
    </xf>
    <xf numFmtId="0" fontId="61" fillId="0" borderId="0" xfId="6" applyFont="1" applyAlignment="1">
      <alignment horizontal="right" vertical="top"/>
    </xf>
    <xf numFmtId="0" fontId="62" fillId="0" borderId="0" xfId="0" applyFont="1" applyAlignment="1">
      <alignment horizontal="right" vertical="top"/>
    </xf>
    <xf numFmtId="0" fontId="0" fillId="7" borderId="0" xfId="0" applyFill="1" applyBorder="1" applyAlignment="1">
      <alignment horizontal="left"/>
    </xf>
    <xf numFmtId="0" fontId="64" fillId="0" borderId="0" xfId="0" applyFont="1" applyFill="1" applyAlignment="1">
      <alignment horizontal="left"/>
    </xf>
    <xf numFmtId="0" fontId="52" fillId="8" borderId="0" xfId="0" applyFont="1" applyFill="1"/>
    <xf numFmtId="0" fontId="23" fillId="23" borderId="21" xfId="1" applyFill="1" applyBorder="1" applyAlignment="1">
      <alignment wrapText="1"/>
    </xf>
    <xf numFmtId="0" fontId="23" fillId="23" borderId="8" xfId="1" applyFill="1" applyBorder="1" applyAlignment="1">
      <alignment wrapText="1"/>
    </xf>
    <xf numFmtId="0" fontId="10" fillId="23" borderId="21" xfId="1" applyFont="1" applyFill="1" applyBorder="1" applyAlignment="1">
      <alignment wrapText="1"/>
    </xf>
    <xf numFmtId="0" fontId="10" fillId="23" borderId="8" xfId="1" applyFont="1" applyFill="1" applyBorder="1" applyAlignment="1">
      <alignment wrapText="1"/>
    </xf>
    <xf numFmtId="0" fontId="10" fillId="23" borderId="42" xfId="1" applyFont="1" applyFill="1" applyBorder="1" applyAlignment="1">
      <alignment wrapText="1"/>
    </xf>
    <xf numFmtId="0" fontId="25" fillId="23" borderId="21" xfId="1" applyFont="1" applyFill="1" applyBorder="1" applyAlignment="1">
      <alignment wrapText="1"/>
    </xf>
    <xf numFmtId="0" fontId="25" fillId="23" borderId="8" xfId="1" applyFont="1" applyFill="1" applyBorder="1" applyAlignment="1">
      <alignment wrapText="1"/>
    </xf>
    <xf numFmtId="0" fontId="24" fillId="24" borderId="21" xfId="0" applyNumberFormat="1" applyFont="1" applyFill="1" applyBorder="1" applyAlignment="1" applyProtection="1">
      <alignment wrapText="1"/>
    </xf>
    <xf numFmtId="0" fontId="24" fillId="24" borderId="8" xfId="0" applyNumberFormat="1" applyFont="1" applyFill="1" applyBorder="1" applyAlignment="1" applyProtection="1">
      <alignment wrapText="1"/>
    </xf>
    <xf numFmtId="0" fontId="26" fillId="24" borderId="22" xfId="0" applyNumberFormat="1" applyFont="1" applyFill="1" applyBorder="1" applyAlignment="1" applyProtection="1">
      <alignment wrapText="1"/>
    </xf>
    <xf numFmtId="0" fontId="26" fillId="24" borderId="1" xfId="0" applyNumberFormat="1" applyFont="1" applyFill="1" applyBorder="1" applyAlignment="1" applyProtection="1">
      <alignment wrapText="1"/>
    </xf>
    <xf numFmtId="0" fontId="24" fillId="16" borderId="5" xfId="0" applyNumberFormat="1" applyFont="1" applyFill="1" applyBorder="1" applyAlignment="1" applyProtection="1">
      <alignment horizontal="center" wrapText="1"/>
    </xf>
    <xf numFmtId="0" fontId="50" fillId="10" borderId="5" xfId="0" applyNumberFormat="1" applyFont="1" applyFill="1" applyBorder="1" applyAlignment="1" applyProtection="1">
      <alignment horizontal="left" wrapText="1"/>
    </xf>
    <xf numFmtId="0" fontId="19" fillId="17" borderId="1" xfId="1" applyFont="1" applyFill="1" applyBorder="1" applyAlignment="1">
      <alignment wrapText="1"/>
    </xf>
    <xf numFmtId="0" fontId="9" fillId="17" borderId="1" xfId="1" applyFont="1" applyFill="1" applyBorder="1" applyAlignment="1">
      <alignment wrapText="1"/>
    </xf>
    <xf numFmtId="0" fontId="25" fillId="17" borderId="4" xfId="1" applyFont="1" applyFill="1" applyBorder="1" applyAlignment="1">
      <alignment wrapText="1"/>
    </xf>
    <xf numFmtId="0" fontId="25" fillId="17" borderId="5" xfId="1" applyFont="1" applyFill="1" applyBorder="1" applyAlignment="1">
      <alignment wrapText="1"/>
    </xf>
    <xf numFmtId="9" fontId="26" fillId="16" borderId="1" xfId="2" applyFont="1" applyFill="1" applyBorder="1" applyAlignment="1" applyProtection="1">
      <alignment wrapText="1"/>
    </xf>
    <xf numFmtId="0" fontId="23" fillId="13" borderId="3" xfId="1" applyFill="1" applyBorder="1" applyAlignment="1">
      <alignment wrapText="1"/>
    </xf>
    <xf numFmtId="0" fontId="19" fillId="13" borderId="3" xfId="1" applyFont="1" applyFill="1" applyBorder="1" applyAlignment="1">
      <alignment wrapText="1"/>
    </xf>
    <xf numFmtId="0" fontId="50" fillId="10" borderId="3" xfId="0" applyNumberFormat="1" applyFont="1" applyFill="1" applyBorder="1" applyAlignment="1" applyProtection="1">
      <alignment wrapText="1"/>
    </xf>
    <xf numFmtId="0" fontId="26" fillId="10" borderId="6" xfId="0" applyNumberFormat="1" applyFont="1" applyFill="1" applyBorder="1" applyAlignment="1" applyProtection="1">
      <alignment wrapText="1"/>
    </xf>
    <xf numFmtId="0" fontId="25" fillId="20" borderId="1" xfId="1" applyFont="1" applyFill="1" applyBorder="1" applyAlignment="1">
      <alignment wrapText="1"/>
    </xf>
    <xf numFmtId="0" fontId="24" fillId="14" borderId="1" xfId="0" applyNumberFormat="1" applyFont="1" applyFill="1" applyBorder="1" applyAlignment="1" applyProtection="1">
      <alignment wrapText="1"/>
    </xf>
    <xf numFmtId="0" fontId="26" fillId="14" borderId="1" xfId="0" applyNumberFormat="1" applyFont="1" applyFill="1" applyBorder="1" applyAlignment="1" applyProtection="1">
      <alignment wrapText="1"/>
    </xf>
    <xf numFmtId="0" fontId="9" fillId="20" borderId="1" xfId="1" applyFont="1" applyFill="1" applyBorder="1" applyAlignment="1">
      <alignment wrapText="1"/>
    </xf>
    <xf numFmtId="0" fontId="0" fillId="20" borderId="19" xfId="1" applyFont="1" applyFill="1" applyBorder="1" applyAlignment="1">
      <alignment wrapText="1"/>
    </xf>
    <xf numFmtId="0" fontId="23" fillId="17" borderId="8" xfId="1" applyFill="1" applyBorder="1" applyAlignment="1">
      <alignment wrapText="1"/>
    </xf>
    <xf numFmtId="0" fontId="26" fillId="10" borderId="1" xfId="0" applyNumberFormat="1" applyFont="1" applyFill="1" applyBorder="1" applyAlignment="1" applyProtection="1">
      <alignment wrapText="1"/>
    </xf>
    <xf numFmtId="0" fontId="23" fillId="13" borderId="31" xfId="1" applyFill="1" applyBorder="1" applyAlignment="1">
      <alignment wrapText="1"/>
    </xf>
    <xf numFmtId="0" fontId="19" fillId="13" borderId="31" xfId="1" applyFont="1" applyFill="1" applyBorder="1" applyAlignment="1">
      <alignment wrapText="1"/>
    </xf>
    <xf numFmtId="0" fontId="25" fillId="13" borderId="31" xfId="1" applyFont="1" applyFill="1" applyBorder="1" applyAlignment="1">
      <alignment wrapText="1"/>
    </xf>
    <xf numFmtId="0" fontId="50" fillId="10" borderId="31" xfId="0" applyNumberFormat="1" applyFont="1" applyFill="1" applyBorder="1" applyAlignment="1" applyProtection="1">
      <alignment wrapText="1"/>
    </xf>
    <xf numFmtId="0" fontId="26" fillId="10" borderId="5" xfId="0" applyNumberFormat="1" applyFont="1" applyFill="1" applyBorder="1" applyAlignment="1" applyProtection="1">
      <alignment wrapText="1"/>
    </xf>
    <xf numFmtId="0" fontId="23" fillId="13" borderId="8" xfId="1" applyFill="1" applyBorder="1" applyAlignment="1">
      <alignment wrapText="1"/>
    </xf>
    <xf numFmtId="0" fontId="19" fillId="13" borderId="8" xfId="1" applyFont="1" applyFill="1" applyBorder="1" applyAlignment="1">
      <alignment wrapText="1"/>
    </xf>
    <xf numFmtId="0" fontId="25" fillId="13" borderId="8" xfId="1" applyFont="1" applyFill="1" applyBorder="1" applyAlignment="1">
      <alignment wrapText="1"/>
    </xf>
    <xf numFmtId="0" fontId="50" fillId="10" borderId="8" xfId="0" applyNumberFormat="1" applyFont="1" applyFill="1" applyBorder="1" applyAlignment="1" applyProtection="1">
      <alignment wrapText="1"/>
    </xf>
    <xf numFmtId="0" fontId="19" fillId="20" borderId="8" xfId="1" applyFont="1" applyFill="1" applyBorder="1" applyAlignment="1">
      <alignment wrapText="1"/>
    </xf>
    <xf numFmtId="0" fontId="19" fillId="20" borderId="3" xfId="1" applyFont="1" applyFill="1" applyBorder="1" applyAlignment="1">
      <alignment wrapText="1"/>
    </xf>
    <xf numFmtId="0" fontId="0" fillId="20" borderId="3" xfId="1" applyFont="1" applyFill="1" applyBorder="1" applyAlignment="1">
      <alignment wrapText="1"/>
    </xf>
    <xf numFmtId="0" fontId="39" fillId="3" borderId="1" xfId="1" applyFont="1" applyFill="1" applyBorder="1" applyAlignment="1">
      <alignment wrapText="1"/>
    </xf>
    <xf numFmtId="0" fontId="11" fillId="3" borderId="1" xfId="1" applyFont="1" applyFill="1" applyBorder="1" applyAlignment="1">
      <alignment wrapText="1"/>
    </xf>
    <xf numFmtId="0" fontId="25" fillId="3" borderId="1" xfId="1" applyFont="1" applyFill="1" applyBorder="1" applyAlignment="1">
      <alignment wrapText="1"/>
    </xf>
    <xf numFmtId="0" fontId="24" fillId="14" borderId="3" xfId="0" applyNumberFormat="1" applyFont="1" applyFill="1" applyBorder="1" applyAlignment="1" applyProtection="1">
      <alignment wrapText="1"/>
    </xf>
    <xf numFmtId="0" fontId="26" fillId="14" borderId="3" xfId="0" applyNumberFormat="1" applyFont="1" applyFill="1" applyBorder="1" applyAlignment="1" applyProtection="1">
      <alignment wrapText="1"/>
    </xf>
    <xf numFmtId="0" fontId="24" fillId="2" borderId="1" xfId="0" applyNumberFormat="1" applyFont="1" applyFill="1" applyBorder="1" applyAlignment="1" applyProtection="1">
      <alignment wrapText="1"/>
    </xf>
    <xf numFmtId="0" fontId="24" fillId="2" borderId="4" xfId="0" applyNumberFormat="1" applyFont="1" applyFill="1" applyBorder="1" applyAlignment="1" applyProtection="1">
      <alignment wrapText="1"/>
    </xf>
    <xf numFmtId="0" fontId="24" fillId="2" borderId="5" xfId="0" applyNumberFormat="1" applyFont="1" applyFill="1" applyBorder="1" applyAlignment="1" applyProtection="1">
      <alignment wrapText="1"/>
    </xf>
    <xf numFmtId="0" fontId="24" fillId="5" borderId="4" xfId="1" applyFont="1" applyFill="1" applyBorder="1" applyAlignment="1">
      <alignment wrapText="1"/>
    </xf>
    <xf numFmtId="0" fontId="24" fillId="5" borderId="1" xfId="1" applyFont="1" applyFill="1" applyBorder="1" applyAlignment="1">
      <alignment horizontal="right" wrapText="1"/>
    </xf>
    <xf numFmtId="0" fontId="8" fillId="17" borderId="1" xfId="1" applyFont="1" applyFill="1" applyBorder="1" applyAlignment="1">
      <alignment wrapText="1"/>
    </xf>
    <xf numFmtId="0" fontId="7" fillId="0" borderId="0" xfId="0" applyFont="1" applyBorder="1" applyAlignment="1">
      <alignment wrapText="1"/>
    </xf>
    <xf numFmtId="0" fontId="7" fillId="0" borderId="0" xfId="0" applyFont="1"/>
    <xf numFmtId="0" fontId="7" fillId="0" borderId="0" xfId="0" applyFont="1" applyAlignment="1">
      <alignment wrapText="1"/>
    </xf>
    <xf numFmtId="0" fontId="7" fillId="0" borderId="0" xfId="0" applyFont="1" applyFill="1"/>
    <xf numFmtId="0" fontId="65" fillId="0" borderId="0" xfId="6" applyFont="1" applyAlignment="1">
      <alignment horizontal="right"/>
    </xf>
    <xf numFmtId="0" fontId="0" fillId="5" borderId="0" xfId="0" applyNumberFormat="1" applyFill="1" applyBorder="1" applyAlignment="1">
      <alignment wrapText="1"/>
    </xf>
    <xf numFmtId="9" fontId="0" fillId="5" borderId="0" xfId="0" applyNumberFormat="1" applyFill="1" applyBorder="1" applyAlignment="1">
      <alignment wrapText="1"/>
    </xf>
    <xf numFmtId="0" fontId="0" fillId="5" borderId="13" xfId="0" applyFill="1" applyBorder="1"/>
    <xf numFmtId="0" fontId="0" fillId="5" borderId="0" xfId="0" applyNumberFormat="1" applyFill="1" applyBorder="1"/>
    <xf numFmtId="0" fontId="66" fillId="28" borderId="0" xfId="0" applyFont="1" applyFill="1" applyBorder="1" applyAlignment="1">
      <alignment vertical="center"/>
    </xf>
    <xf numFmtId="0" fontId="7" fillId="0" borderId="0" xfId="0" applyFont="1" applyBorder="1" applyAlignment="1">
      <alignment vertical="center"/>
    </xf>
    <xf numFmtId="0" fontId="7" fillId="28" borderId="0" xfId="0" applyFont="1" applyFill="1" applyAlignment="1">
      <alignment horizontal="center" vertical="center" wrapText="1"/>
    </xf>
    <xf numFmtId="0" fontId="7" fillId="28" borderId="0" xfId="0" applyFont="1" applyFill="1"/>
    <xf numFmtId="0" fontId="66" fillId="28" borderId="23" xfId="0" applyFont="1" applyFill="1" applyBorder="1" applyAlignment="1">
      <alignment vertical="center"/>
    </xf>
    <xf numFmtId="0" fontId="52" fillId="0" borderId="0" xfId="0" applyFont="1" applyFill="1" applyBorder="1" applyAlignment="1">
      <alignment vertical="center"/>
    </xf>
    <xf numFmtId="0" fontId="43" fillId="5" borderId="0" xfId="6" applyFill="1"/>
    <xf numFmtId="0" fontId="60" fillId="7" borderId="0" xfId="0" applyFont="1" applyFill="1" applyAlignment="1">
      <alignment horizontal="right" vertical="center"/>
    </xf>
    <xf numFmtId="0" fontId="0" fillId="7" borderId="0" xfId="0" applyFill="1" applyAlignment="1">
      <alignment vertical="center"/>
    </xf>
    <xf numFmtId="0" fontId="0" fillId="7" borderId="0" xfId="0" applyFill="1" applyBorder="1" applyAlignment="1">
      <alignment vertical="center"/>
    </xf>
    <xf numFmtId="0" fontId="0" fillId="7" borderId="0" xfId="0" applyFill="1" applyBorder="1" applyAlignment="1">
      <alignment horizontal="right" vertical="center"/>
    </xf>
    <xf numFmtId="0" fontId="0" fillId="5" borderId="0" xfId="0" applyFill="1" applyBorder="1" applyAlignment="1">
      <alignment wrapText="1"/>
    </xf>
    <xf numFmtId="0" fontId="0" fillId="5" borderId="14" xfId="0" applyNumberFormat="1" applyFill="1" applyBorder="1" applyAlignment="1">
      <alignment horizontal="left"/>
    </xf>
    <xf numFmtId="0" fontId="26" fillId="0" borderId="10" xfId="0" applyFont="1" applyBorder="1"/>
    <xf numFmtId="0" fontId="0" fillId="0" borderId="27" xfId="0" applyBorder="1"/>
    <xf numFmtId="0" fontId="0" fillId="0" borderId="45" xfId="0" applyBorder="1"/>
    <xf numFmtId="0" fontId="0" fillId="0" borderId="28" xfId="0" applyBorder="1"/>
    <xf numFmtId="0" fontId="26" fillId="0" borderId="16" xfId="0" applyFont="1" applyBorder="1"/>
    <xf numFmtId="0" fontId="6" fillId="0" borderId="0" xfId="0" applyFont="1" applyAlignment="1">
      <alignment wrapText="1"/>
    </xf>
    <xf numFmtId="0" fontId="26" fillId="0" borderId="0" xfId="0" applyFont="1" applyAlignment="1">
      <alignment wrapText="1"/>
    </xf>
    <xf numFmtId="0" fontId="26" fillId="20" borderId="0" xfId="0" applyFont="1" applyFill="1" applyAlignment="1">
      <alignment wrapText="1"/>
    </xf>
    <xf numFmtId="0" fontId="26" fillId="29" borderId="0" xfId="0" applyFont="1" applyFill="1" applyAlignment="1">
      <alignment wrapText="1"/>
    </xf>
    <xf numFmtId="0" fontId="26" fillId="25" borderId="0" xfId="0" applyFont="1" applyFill="1" applyAlignment="1">
      <alignment wrapText="1"/>
    </xf>
    <xf numFmtId="0" fontId="26" fillId="30" borderId="0" xfId="0" applyFont="1" applyFill="1" applyAlignment="1">
      <alignment wrapText="1"/>
    </xf>
    <xf numFmtId="0" fontId="26" fillId="32" borderId="0" xfId="0" applyFont="1" applyFill="1" applyAlignment="1">
      <alignment wrapText="1"/>
    </xf>
    <xf numFmtId="0" fontId="26" fillId="0" borderId="0" xfId="0" applyFont="1" applyAlignment="1">
      <alignment horizontal="left"/>
    </xf>
    <xf numFmtId="0" fontId="26" fillId="11" borderId="0" xfId="0" applyFont="1" applyFill="1" applyAlignment="1">
      <alignment horizontal="center"/>
    </xf>
    <xf numFmtId="0" fontId="26" fillId="17" borderId="0" xfId="0" applyFont="1" applyFill="1" applyAlignment="1">
      <alignment wrapText="1"/>
    </xf>
    <xf numFmtId="0" fontId="26" fillId="25" borderId="0" xfId="0" applyFont="1" applyFill="1"/>
    <xf numFmtId="0" fontId="0" fillId="25" borderId="0" xfId="0" applyFill="1"/>
    <xf numFmtId="0" fontId="26" fillId="0" borderId="0" xfId="0" applyFont="1" applyAlignment="1">
      <alignment horizontal="right"/>
    </xf>
    <xf numFmtId="0" fontId="0" fillId="0" borderId="0" xfId="0" applyBorder="1" applyAlignment="1"/>
    <xf numFmtId="0" fontId="26" fillId="0" borderId="0" xfId="0" applyFont="1" applyBorder="1" applyAlignment="1"/>
    <xf numFmtId="0" fontId="26" fillId="0" borderId="0" xfId="0" applyFont="1" applyFill="1" applyBorder="1" applyAlignment="1"/>
    <xf numFmtId="0" fontId="0" fillId="0" borderId="0" xfId="0" applyFill="1" applyBorder="1" applyAlignment="1">
      <alignment horizontal="left" indent="1"/>
    </xf>
    <xf numFmtId="0" fontId="0" fillId="0" borderId="0" xfId="0" applyBorder="1" applyAlignment="1">
      <alignment horizontal="left" indent="2"/>
    </xf>
    <xf numFmtId="0" fontId="26" fillId="0" borderId="0" xfId="0" applyFont="1" applyBorder="1" applyAlignment="1">
      <alignment horizontal="left" indent="1"/>
    </xf>
    <xf numFmtId="0" fontId="0" fillId="0" borderId="0" xfId="0" applyFill="1" applyBorder="1" applyAlignment="1">
      <alignment horizontal="left"/>
    </xf>
    <xf numFmtId="0" fontId="0" fillId="0" borderId="0" xfId="0" applyAlignment="1">
      <alignment horizontal="left" wrapText="1"/>
    </xf>
    <xf numFmtId="0" fontId="0" fillId="0" borderId="0" xfId="0" applyAlignment="1">
      <alignment horizontal="left" vertical="top" wrapText="1"/>
    </xf>
    <xf numFmtId="0" fontId="70" fillId="0" borderId="0" xfId="0" applyFont="1" applyBorder="1" applyAlignment="1"/>
    <xf numFmtId="0" fontId="70" fillId="0" borderId="0" xfId="0" applyFont="1" applyFill="1" applyBorder="1" applyAlignment="1"/>
    <xf numFmtId="0" fontId="71" fillId="0" borderId="0" xfId="0" applyFont="1" applyAlignment="1">
      <alignment horizontal="left" wrapText="1"/>
    </xf>
    <xf numFmtId="0" fontId="0" fillId="5" borderId="10" xfId="0" applyFill="1" applyBorder="1" applyAlignment="1">
      <alignment horizontal="left" vertical="top" wrapText="1"/>
    </xf>
    <xf numFmtId="0" fontId="0" fillId="5" borderId="11" xfId="0" applyFill="1" applyBorder="1" applyAlignment="1">
      <alignment horizontal="left" vertical="top" wrapText="1"/>
    </xf>
    <xf numFmtId="0" fontId="0" fillId="5" borderId="12" xfId="0" applyFill="1" applyBorder="1" applyAlignment="1">
      <alignment horizontal="left" vertical="top" wrapText="1"/>
    </xf>
    <xf numFmtId="0" fontId="0" fillId="5" borderId="13" xfId="0" applyFill="1" applyBorder="1" applyAlignment="1">
      <alignment horizontal="left" vertical="top" wrapText="1"/>
    </xf>
    <xf numFmtId="0" fontId="0" fillId="5" borderId="0" xfId="0" applyFill="1" applyBorder="1" applyAlignment="1">
      <alignment horizontal="left" vertical="top" wrapText="1"/>
    </xf>
    <xf numFmtId="0" fontId="0" fillId="5" borderId="14" xfId="0" applyFill="1" applyBorder="1" applyAlignment="1">
      <alignment horizontal="left" vertical="top" wrapText="1"/>
    </xf>
    <xf numFmtId="0" fontId="0" fillId="5" borderId="15"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5" fillId="0" borderId="0" xfId="1" applyFont="1" applyFill="1"/>
    <xf numFmtId="0" fontId="22" fillId="2" borderId="0" xfId="1" applyFont="1" applyFill="1" applyBorder="1" applyAlignment="1">
      <alignment horizontal="center" wrapText="1"/>
    </xf>
    <xf numFmtId="0" fontId="4" fillId="3" borderId="0" xfId="1" applyFont="1" applyFill="1"/>
    <xf numFmtId="0" fontId="4" fillId="0" borderId="0" xfId="1" applyFont="1" applyFill="1"/>
    <xf numFmtId="1" fontId="23" fillId="0" borderId="0" xfId="1" applyNumberFormat="1"/>
    <xf numFmtId="0" fontId="43" fillId="0" borderId="0" xfId="6" applyFill="1"/>
    <xf numFmtId="0" fontId="0" fillId="5" borderId="0" xfId="0" applyFill="1"/>
    <xf numFmtId="9" fontId="0" fillId="0" borderId="0" xfId="0" applyNumberFormat="1"/>
    <xf numFmtId="0" fontId="0" fillId="26" borderId="43" xfId="0" applyNumberFormat="1" applyFont="1" applyFill="1" applyBorder="1" applyAlignment="1" applyProtection="1">
      <alignment wrapText="1"/>
    </xf>
    <xf numFmtId="0" fontId="23" fillId="25" borderId="21" xfId="1" applyFill="1" applyBorder="1" applyAlignment="1">
      <alignment wrapText="1"/>
    </xf>
    <xf numFmtId="0" fontId="23" fillId="25" borderId="8" xfId="1" applyFill="1" applyBorder="1" applyAlignment="1">
      <alignment wrapText="1"/>
    </xf>
    <xf numFmtId="0" fontId="4" fillId="25" borderId="22" xfId="1" applyFont="1" applyFill="1" applyBorder="1" applyAlignment="1">
      <alignment wrapText="1"/>
    </xf>
    <xf numFmtId="0" fontId="4" fillId="25" borderId="1" xfId="1" applyFont="1" applyFill="1" applyBorder="1" applyAlignment="1">
      <alignment wrapText="1"/>
    </xf>
    <xf numFmtId="0" fontId="25" fillId="25" borderId="22" xfId="1" applyFont="1" applyFill="1" applyBorder="1" applyAlignment="1">
      <alignment wrapText="1"/>
    </xf>
    <xf numFmtId="0" fontId="25" fillId="25" borderId="1" xfId="1" applyFont="1" applyFill="1" applyBorder="1" applyAlignment="1">
      <alignment wrapText="1"/>
    </xf>
    <xf numFmtId="0" fontId="24" fillId="26" borderId="22" xfId="0" applyNumberFormat="1" applyFont="1" applyFill="1" applyBorder="1" applyAlignment="1" applyProtection="1">
      <alignment wrapText="1"/>
    </xf>
    <xf numFmtId="0" fontId="24" fillId="26" borderId="1" xfId="0" applyNumberFormat="1" applyFont="1" applyFill="1" applyBorder="1" applyAlignment="1" applyProtection="1">
      <alignment wrapText="1"/>
    </xf>
    <xf numFmtId="0" fontId="26" fillId="26" borderId="22" xfId="0" applyNumberFormat="1" applyFont="1" applyFill="1" applyBorder="1" applyAlignment="1" applyProtection="1">
      <alignment wrapText="1"/>
    </xf>
    <xf numFmtId="0" fontId="26" fillId="26" borderId="1" xfId="0" applyNumberFormat="1" applyFont="1" applyFill="1" applyBorder="1" applyAlignment="1" applyProtection="1">
      <alignment wrapText="1"/>
    </xf>
    <xf numFmtId="1" fontId="52" fillId="0" borderId="36" xfId="0" applyNumberFormat="1" applyFont="1" applyFill="1" applyBorder="1" applyAlignment="1">
      <alignment wrapText="1"/>
    </xf>
    <xf numFmtId="1" fontId="52" fillId="5" borderId="36" xfId="0" applyNumberFormat="1" applyFont="1" applyFill="1" applyBorder="1"/>
    <xf numFmtId="1" fontId="52" fillId="0" borderId="36" xfId="0" applyNumberFormat="1" applyFont="1" applyFill="1" applyBorder="1"/>
    <xf numFmtId="0" fontId="3" fillId="3" borderId="0" xfId="1" applyFont="1" applyFill="1"/>
    <xf numFmtId="0" fontId="3" fillId="0" borderId="0" xfId="0" applyFont="1" applyAlignment="1">
      <alignment wrapText="1"/>
    </xf>
    <xf numFmtId="0" fontId="71" fillId="26" borderId="0" xfId="0" applyFont="1" applyFill="1" applyAlignment="1">
      <alignment horizontal="left" wrapText="1"/>
    </xf>
    <xf numFmtId="0" fontId="0" fillId="26" borderId="0" xfId="0" applyFill="1" applyAlignment="1">
      <alignment horizontal="left" wrapText="1"/>
    </xf>
    <xf numFmtId="0" fontId="0" fillId="0" borderId="0" xfId="0" applyAlignment="1">
      <alignment horizontal="left" vertical="center" wrapText="1"/>
    </xf>
    <xf numFmtId="0" fontId="0" fillId="0" borderId="0" xfId="0" applyAlignment="1">
      <alignment horizontal="center" vertical="center"/>
    </xf>
    <xf numFmtId="0" fontId="24" fillId="16" borderId="6" xfId="0" applyNumberFormat="1" applyFont="1" applyFill="1" applyBorder="1" applyAlignment="1" applyProtection="1">
      <alignment horizontal="center" wrapText="1"/>
    </xf>
    <xf numFmtId="0" fontId="24" fillId="16" borderId="5" xfId="0" applyNumberFormat="1" applyFont="1" applyFill="1" applyBorder="1" applyAlignment="1" applyProtection="1">
      <alignment horizontal="center" wrapText="1"/>
    </xf>
    <xf numFmtId="0" fontId="0" fillId="0" borderId="0" xfId="0" applyFont="1" applyAlignment="1">
      <alignment horizontal="left" wrapText="1"/>
    </xf>
    <xf numFmtId="0" fontId="0" fillId="0" borderId="0" xfId="0" applyFont="1" applyAlignment="1">
      <alignment horizontal="center" vertical="center" wrapText="1"/>
    </xf>
    <xf numFmtId="9" fontId="26" fillId="16" borderId="4" xfId="2" applyFont="1" applyFill="1" applyBorder="1" applyAlignment="1" applyProtection="1">
      <alignment wrapText="1"/>
    </xf>
    <xf numFmtId="0" fontId="2" fillId="17" borderId="19" xfId="1" applyFont="1" applyFill="1" applyBorder="1" applyAlignment="1">
      <alignment wrapText="1"/>
    </xf>
    <xf numFmtId="0" fontId="0" fillId="6" borderId="39" xfId="0" applyFill="1" applyBorder="1" applyProtection="1">
      <protection locked="0"/>
    </xf>
    <xf numFmtId="0" fontId="0" fillId="0" borderId="0" xfId="0" applyAlignment="1">
      <alignment vertical="center" wrapText="1"/>
    </xf>
    <xf numFmtId="0" fontId="26" fillId="0" borderId="0" xfId="0" applyFont="1" applyAlignment="1">
      <alignment vertical="center"/>
    </xf>
    <xf numFmtId="0" fontId="26" fillId="0" borderId="52" xfId="0" applyFont="1" applyBorder="1" applyAlignment="1">
      <alignment vertical="center"/>
    </xf>
    <xf numFmtId="0" fontId="26" fillId="0" borderId="52" xfId="0" applyFont="1" applyBorder="1" applyAlignment="1">
      <alignment vertical="center" wrapText="1"/>
    </xf>
    <xf numFmtId="0" fontId="26" fillId="0" borderId="58" xfId="0" applyFont="1" applyBorder="1" applyAlignment="1">
      <alignment vertical="center" wrapText="1"/>
    </xf>
    <xf numFmtId="0" fontId="26" fillId="0" borderId="52" xfId="0" applyFont="1" applyBorder="1"/>
    <xf numFmtId="0" fontId="0" fillId="0" borderId="52" xfId="0" applyBorder="1" applyAlignment="1">
      <alignment wrapText="1"/>
    </xf>
    <xf numFmtId="0" fontId="0" fillId="0" borderId="52" xfId="0" applyFill="1" applyBorder="1" applyAlignment="1">
      <alignment wrapText="1"/>
    </xf>
    <xf numFmtId="0" fontId="26" fillId="0" borderId="52" xfId="0" applyFont="1" applyBorder="1" applyAlignment="1">
      <alignment horizontal="left" wrapText="1"/>
    </xf>
    <xf numFmtId="0" fontId="26" fillId="0" borderId="55" xfId="0" applyFont="1" applyBorder="1"/>
    <xf numFmtId="0" fontId="26" fillId="0" borderId="53" xfId="0" applyFont="1" applyBorder="1"/>
    <xf numFmtId="0" fontId="0" fillId="0" borderId="53" xfId="0" applyBorder="1"/>
    <xf numFmtId="0" fontId="0" fillId="0" borderId="55" xfId="0" applyBorder="1"/>
    <xf numFmtId="0" fontId="0" fillId="0" borderId="52" xfId="0" applyBorder="1"/>
    <xf numFmtId="169" fontId="0" fillId="0" borderId="52" xfId="0" applyNumberFormat="1" applyBorder="1"/>
    <xf numFmtId="167" fontId="0" fillId="0" borderId="52" xfId="0" applyNumberFormat="1" applyBorder="1"/>
    <xf numFmtId="0" fontId="0" fillId="0" borderId="52" xfId="0" applyBorder="1" applyAlignment="1">
      <alignment horizontal="right"/>
    </xf>
    <xf numFmtId="170" fontId="0" fillId="0" borderId="52" xfId="0" applyNumberFormat="1" applyBorder="1"/>
    <xf numFmtId="0" fontId="26" fillId="0" borderId="58" xfId="0" applyFont="1" applyBorder="1"/>
    <xf numFmtId="0" fontId="0" fillId="0" borderId="61" xfId="0" applyBorder="1"/>
    <xf numFmtId="0" fontId="0" fillId="0" borderId="57" xfId="0" applyBorder="1"/>
    <xf numFmtId="0" fontId="26" fillId="0" borderId="53" xfId="0" applyFont="1" applyBorder="1" applyAlignment="1"/>
    <xf numFmtId="0" fontId="26" fillId="0" borderId="53" xfId="0" applyFont="1" applyFill="1" applyBorder="1" applyAlignment="1"/>
    <xf numFmtId="0" fontId="0" fillId="0" borderId="0" xfId="0" applyBorder="1" applyAlignment="1">
      <alignment vertical="center"/>
    </xf>
    <xf numFmtId="0" fontId="52" fillId="7" borderId="0" xfId="0" applyFont="1" applyFill="1"/>
    <xf numFmtId="0" fontId="52" fillId="0" borderId="0" xfId="0" applyFont="1" applyAlignment="1">
      <alignment vertical="top"/>
    </xf>
    <xf numFmtId="0" fontId="52" fillId="0" borderId="0" xfId="0" applyFont="1" applyAlignment="1">
      <alignment horizontal="left" vertical="top" wrapText="1"/>
    </xf>
    <xf numFmtId="0" fontId="52" fillId="0" borderId="0" xfId="0" applyFont="1" applyFill="1"/>
    <xf numFmtId="0" fontId="52" fillId="5" borderId="0" xfId="0" applyFont="1" applyFill="1"/>
    <xf numFmtId="167" fontId="52" fillId="0" borderId="36" xfId="0" applyNumberFormat="1" applyFont="1" applyFill="1" applyBorder="1"/>
    <xf numFmtId="167" fontId="52" fillId="0" borderId="0" xfId="0" applyNumberFormat="1" applyFont="1" applyFill="1" applyBorder="1"/>
    <xf numFmtId="167" fontId="52" fillId="5" borderId="36" xfId="0" applyNumberFormat="1" applyFont="1" applyFill="1" applyBorder="1"/>
    <xf numFmtId="167" fontId="52" fillId="5" borderId="0" xfId="0" applyNumberFormat="1" applyFont="1" applyFill="1" applyBorder="1"/>
    <xf numFmtId="167" fontId="52" fillId="0" borderId="37" xfId="0" applyNumberFormat="1" applyFont="1" applyFill="1" applyBorder="1"/>
    <xf numFmtId="167" fontId="52" fillId="5" borderId="37" xfId="0" applyNumberFormat="1" applyFont="1" applyFill="1" applyBorder="1"/>
    <xf numFmtId="0" fontId="52" fillId="5" borderId="36" xfId="0" applyFont="1" applyFill="1" applyBorder="1"/>
    <xf numFmtId="0" fontId="52" fillId="5" borderId="0" xfId="0" applyFont="1" applyFill="1" applyBorder="1"/>
    <xf numFmtId="0" fontId="52" fillId="0" borderId="36" xfId="0" applyFont="1" applyFill="1" applyBorder="1"/>
    <xf numFmtId="0" fontId="52" fillId="0" borderId="0" xfId="0" applyFont="1" applyFill="1" applyBorder="1"/>
    <xf numFmtId="2" fontId="52" fillId="0" borderId="0" xfId="0" applyNumberFormat="1" applyFont="1" applyFill="1" applyBorder="1"/>
    <xf numFmtId="2" fontId="52" fillId="0" borderId="37" xfId="0" applyNumberFormat="1" applyFont="1" applyFill="1" applyBorder="1"/>
    <xf numFmtId="0" fontId="52" fillId="5" borderId="37" xfId="0" applyFont="1" applyFill="1" applyBorder="1"/>
    <xf numFmtId="0" fontId="52" fillId="0" borderId="37" xfId="0" applyFont="1" applyFill="1" applyBorder="1"/>
    <xf numFmtId="0" fontId="53" fillId="7" borderId="36" xfId="0" applyFont="1" applyFill="1" applyBorder="1" applyAlignment="1">
      <alignment horizontal="center" wrapText="1"/>
    </xf>
    <xf numFmtId="0" fontId="53" fillId="7" borderId="0" xfId="0" applyFont="1" applyFill="1" applyBorder="1" applyAlignment="1">
      <alignment horizontal="center" wrapText="1"/>
    </xf>
    <xf numFmtId="0" fontId="53" fillId="7" borderId="37" xfId="0" applyFont="1" applyFill="1" applyBorder="1" applyAlignment="1">
      <alignment horizontal="center" wrapText="1"/>
    </xf>
    <xf numFmtId="0" fontId="56" fillId="22" borderId="36" xfId="0" applyFont="1" applyFill="1" applyBorder="1" applyAlignment="1">
      <alignment horizontal="center" wrapText="1"/>
    </xf>
    <xf numFmtId="0" fontId="56" fillId="22" borderId="0" xfId="0" applyFont="1" applyFill="1" applyBorder="1" applyAlignment="1">
      <alignment horizontal="center" wrapText="1"/>
    </xf>
    <xf numFmtId="0" fontId="56" fillId="22" borderId="37" xfId="0" applyFont="1" applyFill="1" applyBorder="1" applyAlignment="1">
      <alignment horizontal="center" wrapText="1"/>
    </xf>
    <xf numFmtId="167" fontId="52" fillId="5" borderId="35" xfId="4" applyNumberFormat="1" applyFont="1" applyFill="1" applyBorder="1" applyAlignment="1">
      <alignment horizontal="left"/>
    </xf>
    <xf numFmtId="9" fontId="52" fillId="0" borderId="35" xfId="2" applyFont="1" applyBorder="1" applyAlignment="1">
      <alignment horizontal="left"/>
    </xf>
    <xf numFmtId="9" fontId="52" fillId="5" borderId="35" xfId="2" applyFont="1" applyFill="1" applyBorder="1" applyAlignment="1">
      <alignment horizontal="left"/>
    </xf>
    <xf numFmtId="167" fontId="52" fillId="0" borderId="35" xfId="4" applyNumberFormat="1" applyFont="1" applyBorder="1" applyAlignment="1">
      <alignment horizontal="left"/>
    </xf>
    <xf numFmtId="0" fontId="52" fillId="22" borderId="36" xfId="0" applyFont="1" applyFill="1" applyBorder="1" applyAlignment="1">
      <alignment horizontal="center" vertical="center" wrapText="1"/>
    </xf>
    <xf numFmtId="0" fontId="52" fillId="22" borderId="0" xfId="0" applyFont="1" applyFill="1" applyBorder="1" applyAlignment="1">
      <alignment horizontal="center" vertical="center" wrapText="1"/>
    </xf>
    <xf numFmtId="0" fontId="0" fillId="6" borderId="0" xfId="0" applyFill="1" applyAlignment="1">
      <alignment horizontal="center"/>
    </xf>
    <xf numFmtId="1" fontId="53" fillId="7" borderId="0" xfId="0" applyNumberFormat="1" applyFont="1" applyFill="1" applyBorder="1" applyAlignment="1">
      <alignment horizontal="center" wrapText="1" shrinkToFit="1"/>
    </xf>
    <xf numFmtId="0" fontId="56" fillId="22" borderId="0" xfId="0" applyFont="1" applyFill="1" applyAlignment="1">
      <alignment horizontal="center" wrapText="1"/>
    </xf>
    <xf numFmtId="0" fontId="68" fillId="28" borderId="0" xfId="0" applyFont="1" applyFill="1" applyBorder="1" applyAlignment="1">
      <alignment horizontal="center" vertical="center"/>
    </xf>
    <xf numFmtId="0" fontId="31" fillId="7" borderId="0" xfId="0" applyFont="1" applyFill="1" applyBorder="1" applyAlignment="1">
      <alignment vertical="center"/>
    </xf>
    <xf numFmtId="0" fontId="57" fillId="7" borderId="36" xfId="0" applyFont="1" applyFill="1" applyBorder="1" applyAlignment="1">
      <alignment horizontal="center" wrapText="1"/>
    </xf>
    <xf numFmtId="0" fontId="57" fillId="7" borderId="0" xfId="0" applyFont="1" applyFill="1" applyBorder="1" applyAlignment="1">
      <alignment horizontal="center" wrapText="1"/>
    </xf>
    <xf numFmtId="0" fontId="57" fillId="7" borderId="37" xfId="0" applyFont="1" applyFill="1" applyBorder="1" applyAlignment="1">
      <alignment horizontal="center" wrapText="1"/>
    </xf>
    <xf numFmtId="0" fontId="67" fillId="28" borderId="36" xfId="0" applyFont="1" applyFill="1" applyBorder="1" applyAlignment="1">
      <alignment horizontal="right" vertical="center"/>
    </xf>
    <xf numFmtId="0" fontId="67" fillId="28" borderId="0" xfId="0" applyFont="1" applyFill="1" applyBorder="1" applyAlignment="1">
      <alignment horizontal="right" vertical="center"/>
    </xf>
    <xf numFmtId="0" fontId="67" fillId="28" borderId="37" xfId="0" applyFont="1" applyFill="1" applyBorder="1" applyAlignment="1">
      <alignment horizontal="right" vertical="center"/>
    </xf>
    <xf numFmtId="0" fontId="66" fillId="28" borderId="23" xfId="0" applyFont="1" applyFill="1" applyBorder="1" applyAlignment="1">
      <alignment horizontal="center" vertical="center"/>
    </xf>
    <xf numFmtId="0" fontId="66" fillId="28" borderId="0" xfId="0" applyFont="1" applyFill="1" applyBorder="1" applyAlignment="1">
      <alignment horizontal="center" vertical="center"/>
    </xf>
    <xf numFmtId="0" fontId="53" fillId="8" borderId="0" xfId="0" applyFont="1" applyFill="1" applyAlignment="1">
      <alignment horizontal="center"/>
    </xf>
    <xf numFmtId="0" fontId="53" fillId="8" borderId="0" xfId="0" applyFont="1" applyFill="1" applyBorder="1" applyAlignment="1">
      <alignment horizontal="center"/>
    </xf>
    <xf numFmtId="0" fontId="52" fillId="22" borderId="38" xfId="0" applyFont="1" applyFill="1" applyBorder="1" applyAlignment="1">
      <alignment horizontal="center"/>
    </xf>
    <xf numFmtId="0" fontId="52" fillId="22" borderId="35" xfId="0" applyFont="1" applyFill="1" applyBorder="1" applyAlignment="1">
      <alignment horizontal="center"/>
    </xf>
    <xf numFmtId="0" fontId="52" fillId="22" borderId="40" xfId="0" applyFont="1" applyFill="1" applyBorder="1" applyAlignment="1">
      <alignment horizontal="center"/>
    </xf>
    <xf numFmtId="0" fontId="72" fillId="28" borderId="40" xfId="0" applyFont="1" applyFill="1" applyBorder="1" applyAlignment="1">
      <alignment horizontal="center"/>
    </xf>
    <xf numFmtId="0" fontId="72" fillId="28" borderId="23" xfId="0" applyFont="1" applyFill="1" applyBorder="1" applyAlignment="1">
      <alignment horizontal="center"/>
    </xf>
    <xf numFmtId="0" fontId="72" fillId="28" borderId="51" xfId="0" applyFont="1" applyFill="1" applyBorder="1" applyAlignment="1">
      <alignment horizontal="center"/>
    </xf>
    <xf numFmtId="9" fontId="57" fillId="7" borderId="35" xfId="0" applyNumberFormat="1" applyFont="1" applyFill="1" applyBorder="1" applyAlignment="1">
      <alignment horizontal="center" wrapText="1"/>
    </xf>
    <xf numFmtId="0" fontId="57" fillId="7" borderId="35" xfId="0" applyFont="1" applyFill="1" applyBorder="1" applyAlignment="1">
      <alignment horizontal="center" wrapText="1"/>
    </xf>
    <xf numFmtId="0" fontId="45" fillId="27" borderId="0" xfId="0" applyFont="1" applyFill="1" applyAlignment="1">
      <alignment horizontal="center"/>
    </xf>
    <xf numFmtId="0" fontId="26" fillId="25" borderId="0" xfId="0" applyFont="1" applyFill="1" applyAlignment="1">
      <alignment horizontal="center"/>
    </xf>
    <xf numFmtId="0" fontId="0" fillId="0" borderId="0" xfId="0" applyBorder="1" applyAlignment="1">
      <alignment horizontal="left" wrapText="1"/>
    </xf>
    <xf numFmtId="0" fontId="0" fillId="0" borderId="0" xfId="0" applyAlignment="1">
      <alignment horizontal="left" vertical="center" wrapText="1"/>
    </xf>
    <xf numFmtId="0" fontId="0" fillId="0" borderId="0" xfId="0" applyBorder="1" applyAlignment="1">
      <alignment vertical="center" wrapText="1"/>
    </xf>
    <xf numFmtId="0" fontId="0" fillId="0" borderId="0" xfId="0" applyAlignment="1">
      <alignment vertical="center" wrapText="1"/>
    </xf>
    <xf numFmtId="0" fontId="0" fillId="0" borderId="0" xfId="0" applyAlignment="1">
      <alignment horizontal="left" wrapText="1"/>
    </xf>
    <xf numFmtId="0" fontId="26" fillId="0" borderId="53" xfId="0" applyFont="1" applyFill="1" applyBorder="1" applyAlignment="1">
      <alignment wrapText="1"/>
    </xf>
    <xf numFmtId="0" fontId="26" fillId="0" borderId="53" xfId="0" applyFont="1" applyBorder="1"/>
    <xf numFmtId="0" fontId="0" fillId="0" borderId="52" xfId="0" applyFont="1" applyBorder="1" applyAlignment="1">
      <alignment horizontal="left" vertical="center" wrapText="1"/>
    </xf>
    <xf numFmtId="0" fontId="0" fillId="0" borderId="0" xfId="0" applyAlignment="1">
      <alignment horizontal="left" vertical="top" wrapText="1"/>
    </xf>
    <xf numFmtId="0" fontId="0" fillId="0" borderId="52" xfId="0" applyBorder="1" applyAlignment="1">
      <alignment horizontal="left" vertical="center" wrapText="1"/>
    </xf>
    <xf numFmtId="0" fontId="39" fillId="27" borderId="0" xfId="0" applyFont="1" applyFill="1" applyAlignment="1">
      <alignment horizontal="center"/>
    </xf>
    <xf numFmtId="0" fontId="0" fillId="0" borderId="55" xfId="0" applyBorder="1" applyAlignment="1">
      <alignment horizontal="left" vertical="center" wrapText="1"/>
    </xf>
    <xf numFmtId="0" fontId="26" fillId="0" borderId="52" xfId="0" applyFont="1" applyBorder="1" applyAlignment="1">
      <alignment horizontal="left" vertical="center"/>
    </xf>
    <xf numFmtId="0" fontId="0" fillId="0" borderId="60" xfId="0" applyFont="1" applyBorder="1" applyAlignment="1">
      <alignment horizontal="left" vertical="center" wrapText="1"/>
    </xf>
    <xf numFmtId="0" fontId="0" fillId="0" borderId="52" xfId="0" applyBorder="1" applyAlignment="1">
      <alignment horizontal="left" vertical="center"/>
    </xf>
    <xf numFmtId="0" fontId="26" fillId="0" borderId="53" xfId="0" applyFont="1" applyBorder="1" applyAlignment="1">
      <alignment vertical="center" wrapText="1"/>
    </xf>
    <xf numFmtId="0" fontId="0" fillId="0" borderId="0" xfId="0" applyBorder="1" applyAlignment="1">
      <alignment vertical="top" wrapText="1"/>
    </xf>
    <xf numFmtId="0" fontId="0" fillId="0" borderId="0" xfId="0" applyAlignment="1">
      <alignment vertical="top" wrapText="1"/>
    </xf>
    <xf numFmtId="0" fontId="26" fillId="25" borderId="0" xfId="0" applyFont="1" applyFill="1" applyAlignment="1">
      <alignment horizontal="left"/>
    </xf>
    <xf numFmtId="0" fontId="0" fillId="0" borderId="59" xfId="0" applyBorder="1" applyAlignment="1">
      <alignment horizontal="left" vertical="center"/>
    </xf>
    <xf numFmtId="0" fontId="26" fillId="0" borderId="55" xfId="0" applyFont="1" applyBorder="1" applyAlignment="1">
      <alignment horizontal="center"/>
    </xf>
    <xf numFmtId="0" fontId="26" fillId="0" borderId="56" xfId="0" applyFont="1" applyBorder="1" applyAlignment="1">
      <alignment horizontal="center"/>
    </xf>
    <xf numFmtId="0" fontId="26" fillId="0" borderId="54" xfId="0" applyFont="1" applyBorder="1" applyAlignment="1">
      <alignment horizontal="center" vertical="center" wrapText="1"/>
    </xf>
    <xf numFmtId="0" fontId="26" fillId="0" borderId="55" xfId="0" applyFont="1" applyBorder="1" applyAlignment="1">
      <alignment horizontal="center" vertical="center" wrapText="1"/>
    </xf>
    <xf numFmtId="0" fontId="26" fillId="0" borderId="57" xfId="0" applyFont="1" applyBorder="1" applyAlignment="1">
      <alignment horizontal="center" vertical="center" wrapText="1"/>
    </xf>
    <xf numFmtId="0" fontId="26" fillId="0" borderId="52" xfId="0" applyFont="1" applyBorder="1" applyAlignment="1">
      <alignment horizontal="center" vertical="center" wrapText="1"/>
    </xf>
    <xf numFmtId="0" fontId="27" fillId="0" borderId="0" xfId="0" applyFont="1" applyAlignment="1">
      <alignment vertical="center" wrapText="1"/>
    </xf>
    <xf numFmtId="0" fontId="0" fillId="0" borderId="0" xfId="0" applyFont="1" applyAlignment="1">
      <alignment vertical="center" wrapText="1"/>
    </xf>
    <xf numFmtId="0" fontId="0" fillId="0" borderId="0" xfId="0" applyAlignment="1">
      <alignment vertical="center"/>
    </xf>
    <xf numFmtId="0" fontId="0" fillId="0" borderId="60" xfId="0" applyBorder="1" applyAlignment="1">
      <alignment horizontal="left" wrapText="1"/>
    </xf>
    <xf numFmtId="0" fontId="0" fillId="0" borderId="53" xfId="0" applyBorder="1" applyAlignment="1">
      <alignment horizontal="left" vertical="center" wrapText="1"/>
    </xf>
    <xf numFmtId="0" fontId="26" fillId="18" borderId="0" xfId="0" applyFont="1" applyFill="1" applyAlignment="1">
      <alignment horizontal="center"/>
    </xf>
    <xf numFmtId="0" fontId="26" fillId="0" borderId="0" xfId="0" applyFont="1" applyAlignment="1">
      <alignment horizontal="center" wrapText="1"/>
    </xf>
    <xf numFmtId="0" fontId="26" fillId="11" borderId="0" xfId="0" applyFont="1" applyFill="1" applyAlignment="1">
      <alignment horizontal="center"/>
    </xf>
    <xf numFmtId="0" fontId="26" fillId="19" borderId="0" xfId="0" applyFont="1" applyFill="1" applyAlignment="1">
      <alignment horizontal="center"/>
    </xf>
    <xf numFmtId="0" fontId="26" fillId="23" borderId="0" xfId="0" applyFont="1" applyFill="1" applyAlignment="1">
      <alignment horizontal="center"/>
    </xf>
    <xf numFmtId="0" fontId="26" fillId="31" borderId="0" xfId="0" applyFont="1" applyFill="1" applyAlignment="1">
      <alignment horizontal="center"/>
    </xf>
    <xf numFmtId="0" fontId="26" fillId="27" borderId="0" xfId="0" applyFont="1" applyFill="1" applyAlignment="1">
      <alignment horizontal="center"/>
    </xf>
    <xf numFmtId="0" fontId="24" fillId="16" borderId="6" xfId="0" applyNumberFormat="1" applyFont="1" applyFill="1" applyBorder="1" applyAlignment="1" applyProtection="1">
      <alignment horizontal="center" wrapText="1"/>
    </xf>
    <xf numFmtId="0" fontId="24" fillId="16" borderId="5" xfId="0" applyNumberFormat="1" applyFont="1" applyFill="1" applyBorder="1" applyAlignment="1" applyProtection="1">
      <alignment horizontal="center" wrapText="1"/>
    </xf>
    <xf numFmtId="0" fontId="24" fillId="26" borderId="44" xfId="0" applyNumberFormat="1" applyFont="1" applyFill="1" applyBorder="1" applyAlignment="1" applyProtection="1">
      <alignment horizontal="center" wrapText="1"/>
    </xf>
    <xf numFmtId="0" fontId="24" fillId="26" borderId="6" xfId="0" applyNumberFormat="1" applyFont="1" applyFill="1" applyBorder="1" applyAlignment="1" applyProtection="1">
      <alignment horizontal="center" wrapText="1"/>
    </xf>
    <xf numFmtId="0" fontId="24" fillId="26" borderId="5" xfId="0" applyNumberFormat="1" applyFont="1" applyFill="1" applyBorder="1" applyAlignment="1" applyProtection="1">
      <alignment horizontal="center" wrapText="1"/>
    </xf>
    <xf numFmtId="0" fontId="24" fillId="26" borderId="4" xfId="0" applyNumberFormat="1" applyFont="1" applyFill="1" applyBorder="1" applyAlignment="1" applyProtection="1">
      <alignment horizontal="center" wrapText="1"/>
    </xf>
    <xf numFmtId="0" fontId="24" fillId="26" borderId="50" xfId="0" applyNumberFormat="1" applyFont="1" applyFill="1" applyBorder="1" applyAlignment="1" applyProtection="1">
      <alignment horizontal="center" wrapText="1"/>
    </xf>
    <xf numFmtId="0" fontId="24" fillId="16" borderId="4" xfId="0" applyNumberFormat="1" applyFont="1" applyFill="1" applyBorder="1" applyAlignment="1" applyProtection="1">
      <alignment horizontal="center" wrapText="1"/>
    </xf>
    <xf numFmtId="0" fontId="39" fillId="18" borderId="11" xfId="1" applyFont="1" applyFill="1" applyBorder="1" applyAlignment="1">
      <alignment horizontal="center" wrapText="1"/>
    </xf>
    <xf numFmtId="0" fontId="39" fillId="18" borderId="12" xfId="1" applyFont="1" applyFill="1" applyBorder="1" applyAlignment="1">
      <alignment horizontal="center" wrapText="1"/>
    </xf>
    <xf numFmtId="0" fontId="39" fillId="4" borderId="13" xfId="1" applyFont="1" applyFill="1" applyBorder="1" applyAlignment="1">
      <alignment horizontal="center" wrapText="1"/>
    </xf>
    <xf numFmtId="0" fontId="39" fillId="4" borderId="0" xfId="1" applyFont="1" applyFill="1" applyBorder="1" applyAlignment="1">
      <alignment horizontal="center" wrapText="1"/>
    </xf>
    <xf numFmtId="0" fontId="39" fillId="4" borderId="14" xfId="1" applyFont="1" applyFill="1" applyBorder="1" applyAlignment="1">
      <alignment horizontal="center" wrapText="1"/>
    </xf>
    <xf numFmtId="0" fontId="39" fillId="27" borderId="13" xfId="1" applyFont="1" applyFill="1" applyBorder="1" applyAlignment="1">
      <alignment horizontal="center" wrapText="1"/>
    </xf>
    <xf numFmtId="0" fontId="39" fillId="27" borderId="0" xfId="1" applyFont="1" applyFill="1" applyBorder="1" applyAlignment="1">
      <alignment horizontal="center" wrapText="1"/>
    </xf>
    <xf numFmtId="0" fontId="39" fillId="27" borderId="14" xfId="1" applyFont="1" applyFill="1" applyBorder="1" applyAlignment="1">
      <alignment horizontal="center" wrapText="1"/>
    </xf>
    <xf numFmtId="0" fontId="39" fillId="5" borderId="20" xfId="1" applyFont="1" applyFill="1" applyBorder="1" applyAlignment="1">
      <alignment horizontal="center" wrapText="1"/>
    </xf>
    <xf numFmtId="0" fontId="39" fillId="15" borderId="46" xfId="1" applyFont="1" applyFill="1" applyBorder="1" applyAlignment="1">
      <alignment horizontal="center" wrapText="1"/>
    </xf>
    <xf numFmtId="0" fontId="39" fillId="15" borderId="47" xfId="1" applyFont="1" applyFill="1" applyBorder="1" applyAlignment="1">
      <alignment horizontal="center" wrapText="1"/>
    </xf>
    <xf numFmtId="0" fontId="39" fillId="15" borderId="48" xfId="1" applyFont="1" applyFill="1" applyBorder="1" applyAlignment="1">
      <alignment horizontal="center" wrapText="1"/>
    </xf>
    <xf numFmtId="0" fontId="39" fillId="19" borderId="0" xfId="1" applyFont="1" applyFill="1" applyBorder="1" applyAlignment="1">
      <alignment horizontal="center" wrapText="1"/>
    </xf>
    <xf numFmtId="0" fontId="39" fillId="19" borderId="9" xfId="1" applyFont="1" applyFill="1" applyBorder="1" applyAlignment="1">
      <alignment horizontal="center" wrapText="1"/>
    </xf>
    <xf numFmtId="0" fontId="50" fillId="10" borderId="4" xfId="0" applyNumberFormat="1" applyFont="1" applyFill="1" applyBorder="1" applyAlignment="1" applyProtection="1">
      <alignment horizontal="left" wrapText="1"/>
    </xf>
    <xf numFmtId="0" fontId="50" fillId="10" borderId="6" xfId="0" applyNumberFormat="1" applyFont="1" applyFill="1" applyBorder="1" applyAlignment="1" applyProtection="1">
      <alignment horizontal="left" wrapText="1"/>
    </xf>
    <xf numFmtId="0" fontId="50" fillId="10" borderId="5" xfId="0" applyNumberFormat="1" applyFont="1" applyFill="1" applyBorder="1" applyAlignment="1" applyProtection="1">
      <alignment horizontal="left" wrapText="1"/>
    </xf>
    <xf numFmtId="0" fontId="39" fillId="12" borderId="11" xfId="1" applyFont="1" applyFill="1" applyBorder="1" applyAlignment="1">
      <alignment horizontal="center" wrapText="1"/>
    </xf>
    <xf numFmtId="0" fontId="39" fillId="12" borderId="49" xfId="1" applyFont="1" applyFill="1" applyBorder="1" applyAlignment="1">
      <alignment horizontal="center" wrapText="1"/>
    </xf>
    <xf numFmtId="0" fontId="22" fillId="2" borderId="0" xfId="1" applyFont="1" applyFill="1" applyBorder="1" applyAlignment="1">
      <alignment horizontal="center" wrapText="1"/>
    </xf>
    <xf numFmtId="0" fontId="39" fillId="2" borderId="0" xfId="1" applyFont="1" applyFill="1" applyAlignment="1">
      <alignment horizontal="center"/>
    </xf>
    <xf numFmtId="0" fontId="0" fillId="0" borderId="0" xfId="0" applyBorder="1" applyAlignment="1">
      <alignment horizontal="center"/>
    </xf>
    <xf numFmtId="0" fontId="0" fillId="0" borderId="14" xfId="0" applyBorder="1" applyAlignment="1">
      <alignment horizontal="center"/>
    </xf>
    <xf numFmtId="0" fontId="0" fillId="0" borderId="0" xfId="0" applyNumberFormat="1" applyBorder="1" applyAlignment="1">
      <alignment horizontal="center"/>
    </xf>
    <xf numFmtId="14" fontId="0" fillId="0" borderId="0" xfId="0" applyNumberFormat="1" applyBorder="1" applyAlignment="1">
      <alignment horizontal="center"/>
    </xf>
    <xf numFmtId="14" fontId="0" fillId="0" borderId="14" xfId="0" applyNumberFormat="1" applyBorder="1" applyAlignment="1">
      <alignment horizontal="center"/>
    </xf>
    <xf numFmtId="0" fontId="0" fillId="0" borderId="13" xfId="0" applyBorder="1" applyAlignment="1">
      <alignment horizontal="center"/>
    </xf>
  </cellXfs>
  <cellStyles count="18">
    <cellStyle name="Comma" xfId="17" builtinId="3"/>
    <cellStyle name="Currency" xfId="4" builtinId="4"/>
    <cellStyle name="Currency 2" xfId="12"/>
    <cellStyle name="Followed Hyperlink" xfId="16" builtinId="9" customBuiltin="1"/>
    <cellStyle name="Heading 2" xfId="5" builtinId="17"/>
    <cellStyle name="Hyperlink" xfId="6" builtinId="8"/>
    <cellStyle name="Normal" xfId="0" builtinId="0"/>
    <cellStyle name="Normal 2" xfId="1"/>
    <cellStyle name="Normal 2 2" xfId="3"/>
    <cellStyle name="Normal 2 2 2" xfId="11"/>
    <cellStyle name="Normal 2 2 3" xfId="15"/>
    <cellStyle name="Normal 2 3" xfId="9"/>
    <cellStyle name="Normal 2 4" xfId="14"/>
    <cellStyle name="Normal 3" xfId="8"/>
    <cellStyle name="Normal 4" xfId="7"/>
    <cellStyle name="Normal 5" xfId="13"/>
    <cellStyle name="Percent" xfId="2" builtinId="5"/>
    <cellStyle name="Percent 2" xfId="10"/>
  </cellStyles>
  <dxfs count="20">
    <dxf>
      <border>
        <right/>
        <top/>
        <bottom/>
      </border>
    </dxf>
    <dxf>
      <border>
        <right/>
        <top/>
        <bottom/>
      </border>
    </dxf>
    <dxf>
      <border>
        <right/>
        <top/>
        <bottom/>
      </border>
    </dxf>
    <dxf>
      <border>
        <left/>
        <top/>
        <bottom/>
        <horizontal/>
      </border>
    </dxf>
    <dxf>
      <border>
        <left/>
        <top/>
        <bottom/>
        <horizontal/>
      </border>
    </dxf>
    <dxf>
      <border>
        <left/>
        <top/>
        <bottom/>
        <horizontal/>
      </border>
    </dxf>
    <dxf>
      <border>
        <left/>
        <top/>
        <bottom/>
        <horizontal/>
      </border>
    </dxf>
    <dxf>
      <border>
        <left/>
        <right/>
        <bottom/>
        <horizontal/>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numFmt numFmtId="22" formatCode="mmm\-yy"/>
    </dxf>
    <dxf>
      <numFmt numFmtId="2" formatCode="0.00"/>
    </dxf>
    <dxf>
      <numFmt numFmtId="22" formatCode="mmm\-yy"/>
    </dxf>
    <dxf>
      <font>
        <b val="0"/>
        <i val="0"/>
        <strike val="0"/>
        <condense val="0"/>
        <extend val="0"/>
        <outline val="0"/>
        <shadow val="0"/>
        <u val="none"/>
        <vertAlign val="baseline"/>
        <sz val="11"/>
        <color theme="1"/>
        <name val="Calibri"/>
        <scheme val="minor"/>
      </font>
    </dxf>
    <dxf>
      <fill>
        <patternFill patternType="solid">
          <fgColor indexed="64"/>
          <bgColor theme="3" tint="0.59999389629810485"/>
        </patternFill>
      </fill>
    </dxf>
    <dxf>
      <fill>
        <patternFill>
          <bgColor rgb="FFFF0000"/>
        </patternFill>
      </fill>
    </dxf>
    <dxf>
      <border>
        <left style="thin">
          <color auto="1"/>
        </left>
        <right style="thin">
          <color auto="1"/>
        </right>
        <top style="thin">
          <color auto="1"/>
        </top>
        <bottom style="thin">
          <color auto="1"/>
        </bottom>
      </border>
    </dxf>
  </dxfs>
  <tableStyles count="6" defaultTableStyle="TableStyleMedium2" defaultPivotStyle="PivotStyleLight16">
    <tableStyle name="Slicer Style 1" pivot="0" table="0" count="1">
      <tableStyleElement type="wholeTable" dxfId="19"/>
    </tableStyle>
    <tableStyle name="Slicer Style 2" pivot="0" table="0" count="1"/>
    <tableStyle name="Slicer Style 3" pivot="0" table="0" count="1">
      <tableStyleElement type="wholeTable" dxfId="18"/>
    </tableStyle>
    <tableStyle name="Slicer Style 4" pivot="0" table="0" count="2"/>
    <tableStyle name="Slicer Style 5" pivot="0" table="0" count="1"/>
    <tableStyle name="Slicer Style 6" pivot="0" table="0" count="1"/>
  </tableStyles>
  <colors>
    <mruColors>
      <color rgb="FF99CCFF"/>
      <color rgb="FF2592FF"/>
      <color rgb="FFFFD757"/>
      <color rgb="FFFFE38B"/>
      <color rgb="FFFF0000"/>
      <color rgb="FF53A9FF"/>
      <color rgb="FFF73186"/>
      <color rgb="FF6699FF"/>
      <color rgb="FFFF85B6"/>
    </mruColors>
  </colors>
  <extLst>
    <ext xmlns:x14="http://schemas.microsoft.com/office/spreadsheetml/2009/9/main" uri="{46F421CA-312F-682f-3DD2-61675219B42D}">
      <x14:dxfs count="5">
        <dxf>
          <font>
            <color theme="0"/>
          </font>
        </dxf>
        <dxf>
          <fill>
            <patternFill>
              <bgColor theme="0" tint="-0.24994659260841701"/>
            </patternFill>
          </fill>
        </dxf>
        <dxf>
          <fill>
            <patternFill>
              <bgColor rgb="FFFF85B6"/>
            </patternFill>
          </fill>
        </dxf>
        <dxf>
          <fill>
            <patternFill>
              <bgColor rgb="FFF73186"/>
            </patternFill>
          </fill>
          <border>
            <left/>
            <right/>
            <top/>
            <bottom/>
          </border>
        </dxf>
        <dxf>
          <border diagonalUp="0" diagonalDown="0">
            <left/>
            <right/>
            <top/>
            <bottom/>
            <vertical/>
            <horizontal/>
          </border>
        </dxf>
      </x14:dxfs>
    </ext>
    <ext xmlns:x14="http://schemas.microsoft.com/office/spreadsheetml/2009/9/main" uri="{EB79DEF2-80B8-43e5-95BD-54CBDDF9020C}">
      <x14:slicerStyles defaultSlicerStyle="SlicerStyleLight1">
        <x14:slicerStyle name="Slicer Style 1"/>
        <x14:slicerStyle name="Slicer Style 2">
          <x14:slicerStyleElements>
            <x14:slicerStyleElement type="selectedItemWithData" dxfId="4"/>
          </x14:slicerStyleElements>
        </x14:slicerStyle>
        <x14:slicerStyle name="Slicer Style 3"/>
        <x14:slicerStyle name="Slicer Style 4">
          <x14:slicerStyleElements>
            <x14:slicerStyleElement type="selectedItemWithData" dxfId="3"/>
            <x14:slicerStyleElement type="selectedItemWithNoData" dxfId="2"/>
          </x14:slicerStyleElements>
        </x14:slicerStyle>
        <x14:slicerStyle name="Slicer Style 5">
          <x14:slicerStyleElements>
            <x14:slicerStyleElement type="selectedItemWithData" dxfId="1"/>
          </x14:slicerStyleElements>
        </x14:slicerStyle>
        <x14:slicerStyle name="Slicer Style 6">
          <x14:slicerStyleElements>
            <x14:slicerStyleElement type="un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Gas Standard Volume (</a:t>
            </a:r>
            <a:r>
              <a:rPr lang="en-US">
                <a:latin typeface="Calibri" panose="020F0502020204030204" pitchFamily="34" charset="0"/>
              </a:rPr>
              <a:t>≤55 gal) </a:t>
            </a:r>
            <a:r>
              <a:rPr lang="en-US"/>
              <a:t>and Tankless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1019996601144279E-2"/>
          <c:y val="0.11379912663755459"/>
          <c:w val="0.89601816112855159"/>
          <c:h val="0.76275602012630517"/>
        </c:manualLayout>
      </c:layout>
      <c:lineChart>
        <c:grouping val="standard"/>
        <c:varyColors val="0"/>
        <c:ser>
          <c:idx val="4"/>
          <c:order val="0"/>
          <c:tx>
            <c:strRef>
              <c:f>'Intermediate Data'!$B$52</c:f>
              <c:strCache>
                <c:ptCount val="1"/>
                <c:pt idx="0">
                  <c:v>Federal Minimum Storage</c:v>
                </c:pt>
              </c:strCache>
            </c:strRef>
          </c:tx>
          <c:spPr>
            <a:ln w="63500" cap="rnd">
              <a:solidFill>
                <a:schemeClr val="tx1">
                  <a:lumMod val="65000"/>
                  <a:lumOff val="35000"/>
                </a:schemeClr>
              </a:solidFill>
              <a:prstDash val="solid"/>
              <a:round/>
            </a:ln>
            <a:effectLst/>
          </c:spPr>
          <c:marker>
            <c:symbol val="none"/>
          </c:marker>
          <c:cat>
            <c:numRef>
              <c:f>'Intermediate Data'!$C$48:$L$48</c:f>
              <c:numCache>
                <c:formatCode>General</c:formatCode>
                <c:ptCount val="10"/>
                <c:pt idx="0">
                  <c:v>2004</c:v>
                </c:pt>
                <c:pt idx="1">
                  <c:v>2008</c:v>
                </c:pt>
                <c:pt idx="2">
                  <c:v>2009</c:v>
                </c:pt>
                <c:pt idx="3">
                  <c:v>2010</c:v>
                </c:pt>
                <c:pt idx="4">
                  <c:v>2011</c:v>
                </c:pt>
                <c:pt idx="5">
                  <c:v>2012</c:v>
                </c:pt>
                <c:pt idx="6">
                  <c:v>2013</c:v>
                </c:pt>
                <c:pt idx="7">
                  <c:v>2014</c:v>
                </c:pt>
                <c:pt idx="8">
                  <c:v>2015</c:v>
                </c:pt>
                <c:pt idx="9">
                  <c:v>2016</c:v>
                </c:pt>
              </c:numCache>
            </c:numRef>
          </c:cat>
          <c:val>
            <c:numRef>
              <c:f>'Intermediate Data'!$C$52:$L$52</c:f>
              <c:numCache>
                <c:formatCode>0.00</c:formatCode>
                <c:ptCount val="10"/>
                <c:pt idx="0">
                  <c:v>0.59400000000000008</c:v>
                </c:pt>
                <c:pt idx="1">
                  <c:v>0.59400000000000008</c:v>
                </c:pt>
                <c:pt idx="2">
                  <c:v>0.59400000000000008</c:v>
                </c:pt>
                <c:pt idx="3">
                  <c:v>0.59400000000000008</c:v>
                </c:pt>
                <c:pt idx="4">
                  <c:v>0.59400000000000008</c:v>
                </c:pt>
                <c:pt idx="5">
                  <c:v>0.59400000000000008</c:v>
                </c:pt>
                <c:pt idx="6">
                  <c:v>0.59400000000000008</c:v>
                </c:pt>
                <c:pt idx="7">
                  <c:v>0.59400000000000008</c:v>
                </c:pt>
                <c:pt idx="8">
                  <c:v>0.61499999999999999</c:v>
                </c:pt>
                <c:pt idx="9">
                  <c:v>0.61499999999999999</c:v>
                </c:pt>
              </c:numCache>
            </c:numRef>
          </c:val>
          <c:smooth val="0"/>
        </c:ser>
        <c:ser>
          <c:idx val="0"/>
          <c:order val="1"/>
          <c:tx>
            <c:strRef>
              <c:f>'Intermediate Data'!$B$53</c:f>
              <c:strCache>
                <c:ptCount val="1"/>
                <c:pt idx="0">
                  <c:v>Federal Minimum Tankless</c:v>
                </c:pt>
              </c:strCache>
            </c:strRef>
          </c:tx>
          <c:spPr>
            <a:ln w="63500" cap="rnd">
              <a:solidFill>
                <a:schemeClr val="accent6"/>
              </a:solidFill>
              <a:prstDash val="solid"/>
              <a:round/>
            </a:ln>
            <a:effectLst/>
          </c:spPr>
          <c:marker>
            <c:symbol val="none"/>
          </c:marker>
          <c:cat>
            <c:numRef>
              <c:f>'Intermediate Data'!$C$48:$L$48</c:f>
              <c:numCache>
                <c:formatCode>General</c:formatCode>
                <c:ptCount val="10"/>
                <c:pt idx="0">
                  <c:v>2004</c:v>
                </c:pt>
                <c:pt idx="1">
                  <c:v>2008</c:v>
                </c:pt>
                <c:pt idx="2">
                  <c:v>2009</c:v>
                </c:pt>
                <c:pt idx="3">
                  <c:v>2010</c:v>
                </c:pt>
                <c:pt idx="4">
                  <c:v>2011</c:v>
                </c:pt>
                <c:pt idx="5">
                  <c:v>2012</c:v>
                </c:pt>
                <c:pt idx="6">
                  <c:v>2013</c:v>
                </c:pt>
                <c:pt idx="7">
                  <c:v>2014</c:v>
                </c:pt>
                <c:pt idx="8">
                  <c:v>2015</c:v>
                </c:pt>
                <c:pt idx="9">
                  <c:v>2016</c:v>
                </c:pt>
              </c:numCache>
            </c:numRef>
          </c:cat>
          <c:val>
            <c:numRef>
              <c:f>'Intermediate Data'!$C$53:$L$53</c:f>
              <c:numCache>
                <c:formatCode>0.00</c:formatCode>
                <c:ptCount val="10"/>
                <c:pt idx="0">
                  <c:v>0.62</c:v>
                </c:pt>
                <c:pt idx="1">
                  <c:v>0.62</c:v>
                </c:pt>
                <c:pt idx="2">
                  <c:v>0.62</c:v>
                </c:pt>
                <c:pt idx="3">
                  <c:v>0.62</c:v>
                </c:pt>
                <c:pt idx="4">
                  <c:v>0.62</c:v>
                </c:pt>
                <c:pt idx="5">
                  <c:v>0.62</c:v>
                </c:pt>
                <c:pt idx="6">
                  <c:v>0.62</c:v>
                </c:pt>
                <c:pt idx="7">
                  <c:v>0.62</c:v>
                </c:pt>
                <c:pt idx="8">
                  <c:v>0.82</c:v>
                </c:pt>
                <c:pt idx="9">
                  <c:v>0.82</c:v>
                </c:pt>
              </c:numCache>
            </c:numRef>
          </c:val>
          <c:smooth val="0"/>
        </c:ser>
        <c:ser>
          <c:idx val="1"/>
          <c:order val="2"/>
          <c:tx>
            <c:strRef>
              <c:f>'Intermediate Data'!$B$54</c:f>
              <c:strCache>
                <c:ptCount val="1"/>
                <c:pt idx="0">
                  <c:v>ENERGY STAR Storage</c:v>
                </c:pt>
              </c:strCache>
            </c:strRef>
          </c:tx>
          <c:spPr>
            <a:ln w="63500" cap="rnd">
              <a:solidFill>
                <a:schemeClr val="accent5"/>
              </a:solidFill>
              <a:prstDash val="sysDash"/>
              <a:round/>
            </a:ln>
            <a:effectLst/>
          </c:spPr>
          <c:marker>
            <c:symbol val="none"/>
          </c:marker>
          <c:cat>
            <c:numRef>
              <c:f>'Intermediate Data'!$C$48:$L$48</c:f>
              <c:numCache>
                <c:formatCode>General</c:formatCode>
                <c:ptCount val="10"/>
                <c:pt idx="0">
                  <c:v>2004</c:v>
                </c:pt>
                <c:pt idx="1">
                  <c:v>2008</c:v>
                </c:pt>
                <c:pt idx="2">
                  <c:v>2009</c:v>
                </c:pt>
                <c:pt idx="3">
                  <c:v>2010</c:v>
                </c:pt>
                <c:pt idx="4">
                  <c:v>2011</c:v>
                </c:pt>
                <c:pt idx="5">
                  <c:v>2012</c:v>
                </c:pt>
                <c:pt idx="6">
                  <c:v>2013</c:v>
                </c:pt>
                <c:pt idx="7">
                  <c:v>2014</c:v>
                </c:pt>
                <c:pt idx="8">
                  <c:v>2015</c:v>
                </c:pt>
                <c:pt idx="9">
                  <c:v>2016</c:v>
                </c:pt>
              </c:numCache>
            </c:numRef>
          </c:cat>
          <c:val>
            <c:numRef>
              <c:f>'Intermediate Data'!$C$54:$L$54</c:f>
              <c:numCache>
                <c:formatCode>0.00</c:formatCode>
                <c:ptCount val="10"/>
                <c:pt idx="1">
                  <c:v>0.62</c:v>
                </c:pt>
                <c:pt idx="2">
                  <c:v>0.62</c:v>
                </c:pt>
                <c:pt idx="3">
                  <c:v>0.67</c:v>
                </c:pt>
                <c:pt idx="4">
                  <c:v>0.67</c:v>
                </c:pt>
                <c:pt idx="5">
                  <c:v>0.67</c:v>
                </c:pt>
                <c:pt idx="6">
                  <c:v>0.67</c:v>
                </c:pt>
                <c:pt idx="7">
                  <c:v>0.67</c:v>
                </c:pt>
                <c:pt idx="8">
                  <c:v>0.67</c:v>
                </c:pt>
                <c:pt idx="9">
                  <c:v>0.67</c:v>
                </c:pt>
              </c:numCache>
            </c:numRef>
          </c:val>
          <c:smooth val="0"/>
        </c:ser>
        <c:ser>
          <c:idx val="2"/>
          <c:order val="3"/>
          <c:tx>
            <c:strRef>
              <c:f>'Intermediate Data'!$B$55</c:f>
              <c:strCache>
                <c:ptCount val="1"/>
                <c:pt idx="0">
                  <c:v>ENERGY STAR Condensing</c:v>
                </c:pt>
              </c:strCache>
            </c:strRef>
          </c:tx>
          <c:spPr>
            <a:ln w="63500" cap="rnd">
              <a:solidFill>
                <a:schemeClr val="accent3"/>
              </a:solidFill>
              <a:prstDash val="sysDash"/>
              <a:round/>
            </a:ln>
            <a:effectLst/>
          </c:spPr>
          <c:marker>
            <c:symbol val="none"/>
          </c:marker>
          <c:cat>
            <c:numRef>
              <c:f>'Intermediate Data'!$C$48:$L$48</c:f>
              <c:numCache>
                <c:formatCode>General</c:formatCode>
                <c:ptCount val="10"/>
                <c:pt idx="0">
                  <c:v>2004</c:v>
                </c:pt>
                <c:pt idx="1">
                  <c:v>2008</c:v>
                </c:pt>
                <c:pt idx="2">
                  <c:v>2009</c:v>
                </c:pt>
                <c:pt idx="3">
                  <c:v>2010</c:v>
                </c:pt>
                <c:pt idx="4">
                  <c:v>2011</c:v>
                </c:pt>
                <c:pt idx="5">
                  <c:v>2012</c:v>
                </c:pt>
                <c:pt idx="6">
                  <c:v>2013</c:v>
                </c:pt>
                <c:pt idx="7">
                  <c:v>2014</c:v>
                </c:pt>
                <c:pt idx="8">
                  <c:v>2015</c:v>
                </c:pt>
                <c:pt idx="9">
                  <c:v>2016</c:v>
                </c:pt>
              </c:numCache>
            </c:numRef>
          </c:cat>
          <c:val>
            <c:numRef>
              <c:f>'Intermediate Data'!$C$55:$L$55</c:f>
              <c:numCache>
                <c:formatCode>0.00</c:formatCode>
                <c:ptCount val="10"/>
                <c:pt idx="2">
                  <c:v>0.8</c:v>
                </c:pt>
                <c:pt idx="3">
                  <c:v>0.8</c:v>
                </c:pt>
                <c:pt idx="4">
                  <c:v>0.8</c:v>
                </c:pt>
                <c:pt idx="5">
                  <c:v>0.8</c:v>
                </c:pt>
              </c:numCache>
            </c:numRef>
          </c:val>
          <c:smooth val="0"/>
        </c:ser>
        <c:ser>
          <c:idx val="3"/>
          <c:order val="4"/>
          <c:tx>
            <c:strRef>
              <c:f>'Intermediate Data'!$B$56</c:f>
              <c:strCache>
                <c:ptCount val="1"/>
                <c:pt idx="0">
                  <c:v>ENERGY STAR Tankless</c:v>
                </c:pt>
              </c:strCache>
            </c:strRef>
          </c:tx>
          <c:spPr>
            <a:ln w="63500" cap="rnd">
              <a:solidFill>
                <a:schemeClr val="accent6">
                  <a:lumMod val="75000"/>
                </a:schemeClr>
              </a:solidFill>
              <a:prstDash val="sysDash"/>
              <a:round/>
            </a:ln>
            <a:effectLst/>
          </c:spPr>
          <c:marker>
            <c:symbol val="none"/>
          </c:marker>
          <c:cat>
            <c:numRef>
              <c:f>'Intermediate Data'!$C$48:$L$48</c:f>
              <c:numCache>
                <c:formatCode>General</c:formatCode>
                <c:ptCount val="10"/>
                <c:pt idx="0">
                  <c:v>2004</c:v>
                </c:pt>
                <c:pt idx="1">
                  <c:v>2008</c:v>
                </c:pt>
                <c:pt idx="2">
                  <c:v>2009</c:v>
                </c:pt>
                <c:pt idx="3">
                  <c:v>2010</c:v>
                </c:pt>
                <c:pt idx="4">
                  <c:v>2011</c:v>
                </c:pt>
                <c:pt idx="5">
                  <c:v>2012</c:v>
                </c:pt>
                <c:pt idx="6">
                  <c:v>2013</c:v>
                </c:pt>
                <c:pt idx="7">
                  <c:v>2014</c:v>
                </c:pt>
                <c:pt idx="8">
                  <c:v>2015</c:v>
                </c:pt>
                <c:pt idx="9">
                  <c:v>2016</c:v>
                </c:pt>
              </c:numCache>
            </c:numRef>
          </c:cat>
          <c:val>
            <c:numRef>
              <c:f>'Intermediate Data'!$C$56:$L$56</c:f>
              <c:numCache>
                <c:formatCode>0.00</c:formatCode>
                <c:ptCount val="10"/>
                <c:pt idx="2">
                  <c:v>0.82</c:v>
                </c:pt>
                <c:pt idx="3">
                  <c:v>0.82</c:v>
                </c:pt>
                <c:pt idx="4">
                  <c:v>0.82</c:v>
                </c:pt>
                <c:pt idx="5">
                  <c:v>0.82</c:v>
                </c:pt>
                <c:pt idx="6">
                  <c:v>0.82</c:v>
                </c:pt>
                <c:pt idx="7">
                  <c:v>0.82</c:v>
                </c:pt>
                <c:pt idx="8">
                  <c:v>0.9</c:v>
                </c:pt>
                <c:pt idx="9">
                  <c:v>0.9</c:v>
                </c:pt>
              </c:numCache>
            </c:numRef>
          </c:val>
          <c:smooth val="0"/>
        </c:ser>
        <c:ser>
          <c:idx val="5"/>
          <c:order val="5"/>
          <c:tx>
            <c:strRef>
              <c:f>'Intermediate Data'!$B$57</c:f>
              <c:strCache>
                <c:ptCount val="1"/>
                <c:pt idx="0">
                  <c:v>CEE 0 Storage</c:v>
                </c:pt>
              </c:strCache>
            </c:strRef>
          </c:tx>
          <c:spPr>
            <a:ln w="31750" cap="rnd">
              <a:solidFill>
                <a:schemeClr val="accent5">
                  <a:lumMod val="50000"/>
                </a:schemeClr>
              </a:solidFill>
              <a:prstDash val="sysDot"/>
              <a:round/>
            </a:ln>
            <a:effectLst/>
          </c:spPr>
          <c:marker>
            <c:symbol val="none"/>
          </c:marker>
          <c:cat>
            <c:numRef>
              <c:f>'Intermediate Data'!$C$48:$L$48</c:f>
              <c:numCache>
                <c:formatCode>General</c:formatCode>
                <c:ptCount val="10"/>
                <c:pt idx="0">
                  <c:v>2004</c:v>
                </c:pt>
                <c:pt idx="1">
                  <c:v>2008</c:v>
                </c:pt>
                <c:pt idx="2">
                  <c:v>2009</c:v>
                </c:pt>
                <c:pt idx="3">
                  <c:v>2010</c:v>
                </c:pt>
                <c:pt idx="4">
                  <c:v>2011</c:v>
                </c:pt>
                <c:pt idx="5">
                  <c:v>2012</c:v>
                </c:pt>
                <c:pt idx="6">
                  <c:v>2013</c:v>
                </c:pt>
                <c:pt idx="7">
                  <c:v>2014</c:v>
                </c:pt>
                <c:pt idx="8">
                  <c:v>2015</c:v>
                </c:pt>
                <c:pt idx="9">
                  <c:v>2016</c:v>
                </c:pt>
              </c:numCache>
            </c:numRef>
          </c:cat>
          <c:val>
            <c:numRef>
              <c:f>'Intermediate Data'!$C$57:$L$57</c:f>
              <c:numCache>
                <c:formatCode>0.00</c:formatCode>
                <c:ptCount val="10"/>
                <c:pt idx="1">
                  <c:v>0.62</c:v>
                </c:pt>
                <c:pt idx="2">
                  <c:v>0.62</c:v>
                </c:pt>
                <c:pt idx="3">
                  <c:v>0.62</c:v>
                </c:pt>
                <c:pt idx="4">
                  <c:v>0.62</c:v>
                </c:pt>
                <c:pt idx="5">
                  <c:v>0.62</c:v>
                </c:pt>
                <c:pt idx="6">
                  <c:v>0.62</c:v>
                </c:pt>
                <c:pt idx="7">
                  <c:v>0.62</c:v>
                </c:pt>
                <c:pt idx="8">
                  <c:v>0.62</c:v>
                </c:pt>
                <c:pt idx="9">
                  <c:v>0.62</c:v>
                </c:pt>
              </c:numCache>
            </c:numRef>
          </c:val>
          <c:smooth val="0"/>
        </c:ser>
        <c:ser>
          <c:idx val="6"/>
          <c:order val="6"/>
          <c:tx>
            <c:strRef>
              <c:f>'Intermediate Data'!$B$58</c:f>
              <c:strCache>
                <c:ptCount val="1"/>
                <c:pt idx="0">
                  <c:v>CEE 1 Storage</c:v>
                </c:pt>
              </c:strCache>
            </c:strRef>
          </c:tx>
          <c:spPr>
            <a:ln w="31750" cap="rnd">
              <a:solidFill>
                <a:schemeClr val="tx2">
                  <a:lumMod val="50000"/>
                </a:schemeClr>
              </a:solidFill>
              <a:prstDash val="sysDot"/>
              <a:round/>
            </a:ln>
            <a:effectLst/>
          </c:spPr>
          <c:marker>
            <c:symbol val="none"/>
          </c:marker>
          <c:cat>
            <c:numRef>
              <c:f>'Intermediate Data'!$C$48:$L$48</c:f>
              <c:numCache>
                <c:formatCode>General</c:formatCode>
                <c:ptCount val="10"/>
                <c:pt idx="0">
                  <c:v>2004</c:v>
                </c:pt>
                <c:pt idx="1">
                  <c:v>2008</c:v>
                </c:pt>
                <c:pt idx="2">
                  <c:v>2009</c:v>
                </c:pt>
                <c:pt idx="3">
                  <c:v>2010</c:v>
                </c:pt>
                <c:pt idx="4">
                  <c:v>2011</c:v>
                </c:pt>
                <c:pt idx="5">
                  <c:v>2012</c:v>
                </c:pt>
                <c:pt idx="6">
                  <c:v>2013</c:v>
                </c:pt>
                <c:pt idx="7">
                  <c:v>2014</c:v>
                </c:pt>
                <c:pt idx="8">
                  <c:v>2015</c:v>
                </c:pt>
                <c:pt idx="9">
                  <c:v>2016</c:v>
                </c:pt>
              </c:numCache>
            </c:numRef>
          </c:cat>
          <c:val>
            <c:numRef>
              <c:f>'Intermediate Data'!$C$58:$L$58</c:f>
              <c:numCache>
                <c:formatCode>0.00</c:formatCode>
                <c:ptCount val="10"/>
                <c:pt idx="1">
                  <c:v>0.67</c:v>
                </c:pt>
                <c:pt idx="2">
                  <c:v>0.67</c:v>
                </c:pt>
                <c:pt idx="3">
                  <c:v>0.67</c:v>
                </c:pt>
                <c:pt idx="4">
                  <c:v>0.67</c:v>
                </c:pt>
                <c:pt idx="5">
                  <c:v>0.67</c:v>
                </c:pt>
                <c:pt idx="6">
                  <c:v>0.67</c:v>
                </c:pt>
                <c:pt idx="7">
                  <c:v>0.67</c:v>
                </c:pt>
                <c:pt idx="8">
                  <c:v>0.67</c:v>
                </c:pt>
                <c:pt idx="9">
                  <c:v>0.67</c:v>
                </c:pt>
              </c:numCache>
            </c:numRef>
          </c:val>
          <c:smooth val="0"/>
        </c:ser>
        <c:ser>
          <c:idx val="7"/>
          <c:order val="7"/>
          <c:tx>
            <c:strRef>
              <c:f>'Intermediate Data'!$B$59</c:f>
              <c:strCache>
                <c:ptCount val="1"/>
                <c:pt idx="0">
                  <c:v>CEE 2 Storage</c:v>
                </c:pt>
              </c:strCache>
            </c:strRef>
          </c:tx>
          <c:spPr>
            <a:ln w="28575" cap="rnd">
              <a:solidFill>
                <a:schemeClr val="accent3">
                  <a:lumMod val="50000"/>
                </a:schemeClr>
              </a:solidFill>
              <a:prstDash val="sysDot"/>
              <a:round/>
            </a:ln>
            <a:effectLst/>
          </c:spPr>
          <c:marker>
            <c:symbol val="none"/>
          </c:marker>
          <c:cat>
            <c:numRef>
              <c:f>'Intermediate Data'!$C$48:$L$48</c:f>
              <c:numCache>
                <c:formatCode>General</c:formatCode>
                <c:ptCount val="10"/>
                <c:pt idx="0">
                  <c:v>2004</c:v>
                </c:pt>
                <c:pt idx="1">
                  <c:v>2008</c:v>
                </c:pt>
                <c:pt idx="2">
                  <c:v>2009</c:v>
                </c:pt>
                <c:pt idx="3">
                  <c:v>2010</c:v>
                </c:pt>
                <c:pt idx="4">
                  <c:v>2011</c:v>
                </c:pt>
                <c:pt idx="5">
                  <c:v>2012</c:v>
                </c:pt>
                <c:pt idx="6">
                  <c:v>2013</c:v>
                </c:pt>
                <c:pt idx="7">
                  <c:v>2014</c:v>
                </c:pt>
                <c:pt idx="8">
                  <c:v>2015</c:v>
                </c:pt>
                <c:pt idx="9">
                  <c:v>2016</c:v>
                </c:pt>
              </c:numCache>
            </c:numRef>
          </c:cat>
          <c:val>
            <c:numRef>
              <c:f>'Intermediate Data'!$C$59:$L$59</c:f>
              <c:numCache>
                <c:formatCode>0.00</c:formatCode>
                <c:ptCount val="10"/>
                <c:pt idx="1">
                  <c:v>0.8</c:v>
                </c:pt>
                <c:pt idx="2">
                  <c:v>0.8</c:v>
                </c:pt>
                <c:pt idx="3">
                  <c:v>0.8</c:v>
                </c:pt>
                <c:pt idx="4">
                  <c:v>0.8</c:v>
                </c:pt>
                <c:pt idx="5">
                  <c:v>0.8</c:v>
                </c:pt>
                <c:pt idx="6">
                  <c:v>0.8</c:v>
                </c:pt>
                <c:pt idx="7">
                  <c:v>0.8</c:v>
                </c:pt>
                <c:pt idx="8">
                  <c:v>0.8</c:v>
                </c:pt>
                <c:pt idx="9">
                  <c:v>0.8</c:v>
                </c:pt>
              </c:numCache>
            </c:numRef>
          </c:val>
          <c:smooth val="0"/>
        </c:ser>
        <c:ser>
          <c:idx val="8"/>
          <c:order val="8"/>
          <c:tx>
            <c:strRef>
              <c:f>'Intermediate Data'!$B$60</c:f>
              <c:strCache>
                <c:ptCount val="1"/>
                <c:pt idx="0">
                  <c:v>CEE 1 Tankless</c:v>
                </c:pt>
              </c:strCache>
            </c:strRef>
          </c:tx>
          <c:spPr>
            <a:ln w="31750" cap="rnd">
              <a:solidFill>
                <a:schemeClr val="accent2">
                  <a:lumMod val="50000"/>
                </a:schemeClr>
              </a:solidFill>
              <a:prstDash val="sysDot"/>
              <a:round/>
            </a:ln>
            <a:effectLst/>
          </c:spPr>
          <c:marker>
            <c:symbol val="none"/>
          </c:marker>
          <c:cat>
            <c:numRef>
              <c:f>'Intermediate Data'!$C$48:$L$48</c:f>
              <c:numCache>
                <c:formatCode>General</c:formatCode>
                <c:ptCount val="10"/>
                <c:pt idx="0">
                  <c:v>2004</c:v>
                </c:pt>
                <c:pt idx="1">
                  <c:v>2008</c:v>
                </c:pt>
                <c:pt idx="2">
                  <c:v>2009</c:v>
                </c:pt>
                <c:pt idx="3">
                  <c:v>2010</c:v>
                </c:pt>
                <c:pt idx="4">
                  <c:v>2011</c:v>
                </c:pt>
                <c:pt idx="5">
                  <c:v>2012</c:v>
                </c:pt>
                <c:pt idx="6">
                  <c:v>2013</c:v>
                </c:pt>
                <c:pt idx="7">
                  <c:v>2014</c:v>
                </c:pt>
                <c:pt idx="8">
                  <c:v>2015</c:v>
                </c:pt>
                <c:pt idx="9">
                  <c:v>2016</c:v>
                </c:pt>
              </c:numCache>
            </c:numRef>
          </c:cat>
          <c:val>
            <c:numRef>
              <c:f>'Intermediate Data'!$C$60:$L$60</c:f>
              <c:numCache>
                <c:formatCode>0.00</c:formatCode>
                <c:ptCount val="10"/>
                <c:pt idx="1">
                  <c:v>0.82</c:v>
                </c:pt>
                <c:pt idx="2">
                  <c:v>0.82</c:v>
                </c:pt>
                <c:pt idx="3">
                  <c:v>0.82</c:v>
                </c:pt>
                <c:pt idx="4">
                  <c:v>0.82</c:v>
                </c:pt>
                <c:pt idx="5">
                  <c:v>0.82</c:v>
                </c:pt>
                <c:pt idx="6">
                  <c:v>0.82</c:v>
                </c:pt>
                <c:pt idx="7">
                  <c:v>0.82</c:v>
                </c:pt>
                <c:pt idx="8">
                  <c:v>0.82</c:v>
                </c:pt>
                <c:pt idx="9">
                  <c:v>0.82</c:v>
                </c:pt>
              </c:numCache>
            </c:numRef>
          </c:val>
          <c:smooth val="0"/>
        </c:ser>
        <c:dLbls>
          <c:showLegendKey val="0"/>
          <c:showVal val="0"/>
          <c:showCatName val="0"/>
          <c:showSerName val="0"/>
          <c:showPercent val="0"/>
          <c:showBubbleSize val="0"/>
        </c:dLbls>
        <c:smooth val="0"/>
        <c:axId val="161693056"/>
        <c:axId val="161693616"/>
        <c:extLst/>
      </c:lineChart>
      <c:dateAx>
        <c:axId val="1616930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1693616"/>
        <c:crosses val="autoZero"/>
        <c:auto val="0"/>
        <c:lblOffset val="100"/>
        <c:baseTimeUnit val="days"/>
        <c:minorUnit val="1"/>
      </c:dateAx>
      <c:valAx>
        <c:axId val="161693616"/>
        <c:scaling>
          <c:orientation val="minMax"/>
          <c:min val="0.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EF</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1693056"/>
        <c:crosses val="autoZero"/>
        <c:crossBetween val="between"/>
        <c:majorUnit val="0.1"/>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Gas Large Volume (</a:t>
            </a:r>
            <a:r>
              <a:rPr lang="en-US">
                <a:latin typeface="Calibri" panose="020F0502020204030204" pitchFamily="34" charset="0"/>
              </a:rPr>
              <a:t>&gt;55 gal) </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1019996601144279E-2"/>
          <c:y val="0.11379912663755459"/>
          <c:w val="0.89601816112855159"/>
          <c:h val="0.76275602012630517"/>
        </c:manualLayout>
      </c:layout>
      <c:lineChart>
        <c:grouping val="standard"/>
        <c:varyColors val="0"/>
        <c:ser>
          <c:idx val="4"/>
          <c:order val="0"/>
          <c:tx>
            <c:strRef>
              <c:f>'Intermediate Data'!$B$63</c:f>
              <c:strCache>
                <c:ptCount val="1"/>
                <c:pt idx="0">
                  <c:v>Federal Minimum Storage</c:v>
                </c:pt>
              </c:strCache>
            </c:strRef>
          </c:tx>
          <c:spPr>
            <a:ln w="63500" cap="rnd">
              <a:solidFill>
                <a:schemeClr val="tx1">
                  <a:lumMod val="65000"/>
                  <a:lumOff val="35000"/>
                </a:schemeClr>
              </a:solidFill>
              <a:prstDash val="solid"/>
              <a:round/>
            </a:ln>
            <a:effectLst/>
          </c:spPr>
          <c:marker>
            <c:symbol val="none"/>
          </c:marker>
          <c:cat>
            <c:numRef>
              <c:f>'Intermediate Data'!$C$48:$L$48</c:f>
              <c:numCache>
                <c:formatCode>General</c:formatCode>
                <c:ptCount val="10"/>
                <c:pt idx="0">
                  <c:v>2004</c:v>
                </c:pt>
                <c:pt idx="1">
                  <c:v>2008</c:v>
                </c:pt>
                <c:pt idx="2">
                  <c:v>2009</c:v>
                </c:pt>
                <c:pt idx="3">
                  <c:v>2010</c:v>
                </c:pt>
                <c:pt idx="4">
                  <c:v>2011</c:v>
                </c:pt>
                <c:pt idx="5">
                  <c:v>2012</c:v>
                </c:pt>
                <c:pt idx="6">
                  <c:v>2013</c:v>
                </c:pt>
                <c:pt idx="7">
                  <c:v>2014</c:v>
                </c:pt>
                <c:pt idx="8">
                  <c:v>2015</c:v>
                </c:pt>
                <c:pt idx="9">
                  <c:v>2016</c:v>
                </c:pt>
              </c:numCache>
            </c:numRef>
          </c:cat>
          <c:val>
            <c:numRef>
              <c:f>'Intermediate Data'!$C$63:$L$63</c:f>
              <c:numCache>
                <c:formatCode>0.00</c:formatCode>
                <c:ptCount val="10"/>
                <c:pt idx="0">
                  <c:v>0.59400000000000008</c:v>
                </c:pt>
                <c:pt idx="1">
                  <c:v>0.59400000000000008</c:v>
                </c:pt>
                <c:pt idx="2">
                  <c:v>0.59400000000000008</c:v>
                </c:pt>
                <c:pt idx="3">
                  <c:v>0.59400000000000008</c:v>
                </c:pt>
                <c:pt idx="4">
                  <c:v>0.59400000000000008</c:v>
                </c:pt>
                <c:pt idx="5">
                  <c:v>0.59400000000000008</c:v>
                </c:pt>
                <c:pt idx="6">
                  <c:v>0.59400000000000008</c:v>
                </c:pt>
                <c:pt idx="7">
                  <c:v>0.59400000000000008</c:v>
                </c:pt>
                <c:pt idx="8">
                  <c:v>0.75751999999999997</c:v>
                </c:pt>
                <c:pt idx="9">
                  <c:v>0.75751999999999997</c:v>
                </c:pt>
              </c:numCache>
            </c:numRef>
          </c:val>
          <c:smooth val="0"/>
        </c:ser>
        <c:ser>
          <c:idx val="1"/>
          <c:order val="1"/>
          <c:tx>
            <c:strRef>
              <c:f>'Intermediate Data'!$B$64</c:f>
              <c:strCache>
                <c:ptCount val="1"/>
                <c:pt idx="0">
                  <c:v>ENERGY STAR Storage</c:v>
                </c:pt>
              </c:strCache>
            </c:strRef>
          </c:tx>
          <c:spPr>
            <a:ln w="63500" cap="rnd">
              <a:solidFill>
                <a:schemeClr val="accent5"/>
              </a:solidFill>
              <a:prstDash val="sysDash"/>
              <a:round/>
            </a:ln>
            <a:effectLst/>
          </c:spPr>
          <c:marker>
            <c:symbol val="none"/>
          </c:marker>
          <c:cat>
            <c:numRef>
              <c:f>'Intermediate Data'!$C$48:$L$48</c:f>
              <c:numCache>
                <c:formatCode>General</c:formatCode>
                <c:ptCount val="10"/>
                <c:pt idx="0">
                  <c:v>2004</c:v>
                </c:pt>
                <c:pt idx="1">
                  <c:v>2008</c:v>
                </c:pt>
                <c:pt idx="2">
                  <c:v>2009</c:v>
                </c:pt>
                <c:pt idx="3">
                  <c:v>2010</c:v>
                </c:pt>
                <c:pt idx="4">
                  <c:v>2011</c:v>
                </c:pt>
                <c:pt idx="5">
                  <c:v>2012</c:v>
                </c:pt>
                <c:pt idx="6">
                  <c:v>2013</c:v>
                </c:pt>
                <c:pt idx="7">
                  <c:v>2014</c:v>
                </c:pt>
                <c:pt idx="8">
                  <c:v>2015</c:v>
                </c:pt>
                <c:pt idx="9">
                  <c:v>2016</c:v>
                </c:pt>
              </c:numCache>
            </c:numRef>
          </c:cat>
          <c:val>
            <c:numRef>
              <c:f>'Intermediate Data'!$C$64:$L$64</c:f>
              <c:numCache>
                <c:formatCode>0.00</c:formatCode>
                <c:ptCount val="10"/>
                <c:pt idx="1">
                  <c:v>0.62</c:v>
                </c:pt>
                <c:pt idx="3">
                  <c:v>0.67</c:v>
                </c:pt>
                <c:pt idx="4">
                  <c:v>0.67</c:v>
                </c:pt>
                <c:pt idx="5">
                  <c:v>0.67</c:v>
                </c:pt>
                <c:pt idx="6">
                  <c:v>0.67</c:v>
                </c:pt>
                <c:pt idx="7">
                  <c:v>0.67</c:v>
                </c:pt>
                <c:pt idx="8">
                  <c:v>0.77</c:v>
                </c:pt>
                <c:pt idx="9">
                  <c:v>0.77</c:v>
                </c:pt>
              </c:numCache>
            </c:numRef>
          </c:val>
          <c:smooth val="0"/>
        </c:ser>
        <c:ser>
          <c:idx val="2"/>
          <c:order val="2"/>
          <c:tx>
            <c:strRef>
              <c:f>'Intermediate Data'!$B$65</c:f>
              <c:strCache>
                <c:ptCount val="1"/>
                <c:pt idx="0">
                  <c:v>ENERGY STAR Condensing</c:v>
                </c:pt>
              </c:strCache>
            </c:strRef>
          </c:tx>
          <c:spPr>
            <a:ln w="63500" cap="rnd">
              <a:solidFill>
                <a:schemeClr val="accent3"/>
              </a:solidFill>
              <a:prstDash val="sysDash"/>
              <a:round/>
            </a:ln>
            <a:effectLst/>
          </c:spPr>
          <c:marker>
            <c:symbol val="none"/>
          </c:marker>
          <c:cat>
            <c:numRef>
              <c:f>'Intermediate Data'!$C$48:$L$48</c:f>
              <c:numCache>
                <c:formatCode>General</c:formatCode>
                <c:ptCount val="10"/>
                <c:pt idx="0">
                  <c:v>2004</c:v>
                </c:pt>
                <c:pt idx="1">
                  <c:v>2008</c:v>
                </c:pt>
                <c:pt idx="2">
                  <c:v>2009</c:v>
                </c:pt>
                <c:pt idx="3">
                  <c:v>2010</c:v>
                </c:pt>
                <c:pt idx="4">
                  <c:v>2011</c:v>
                </c:pt>
                <c:pt idx="5">
                  <c:v>2012</c:v>
                </c:pt>
                <c:pt idx="6">
                  <c:v>2013</c:v>
                </c:pt>
                <c:pt idx="7">
                  <c:v>2014</c:v>
                </c:pt>
                <c:pt idx="8">
                  <c:v>2015</c:v>
                </c:pt>
                <c:pt idx="9">
                  <c:v>2016</c:v>
                </c:pt>
              </c:numCache>
            </c:numRef>
          </c:cat>
          <c:val>
            <c:numRef>
              <c:f>'Intermediate Data'!$C$65:$L$65</c:f>
              <c:numCache>
                <c:formatCode>0.00</c:formatCode>
                <c:ptCount val="10"/>
                <c:pt idx="2">
                  <c:v>0.8</c:v>
                </c:pt>
                <c:pt idx="3">
                  <c:v>0.8</c:v>
                </c:pt>
                <c:pt idx="4">
                  <c:v>0.8</c:v>
                </c:pt>
                <c:pt idx="5">
                  <c:v>0.8</c:v>
                </c:pt>
              </c:numCache>
            </c:numRef>
          </c:val>
          <c:smooth val="0"/>
        </c:ser>
        <c:ser>
          <c:idx val="5"/>
          <c:order val="3"/>
          <c:tx>
            <c:strRef>
              <c:f>'Intermediate Data'!$B$57</c:f>
              <c:strCache>
                <c:ptCount val="1"/>
                <c:pt idx="0">
                  <c:v>CEE 0 Storage</c:v>
                </c:pt>
              </c:strCache>
            </c:strRef>
          </c:tx>
          <c:spPr>
            <a:ln w="31750" cap="rnd">
              <a:solidFill>
                <a:schemeClr val="accent5">
                  <a:lumMod val="50000"/>
                </a:schemeClr>
              </a:solidFill>
              <a:prstDash val="sysDot"/>
              <a:round/>
            </a:ln>
            <a:effectLst/>
          </c:spPr>
          <c:marker>
            <c:symbol val="none"/>
          </c:marker>
          <c:cat>
            <c:numRef>
              <c:f>'Intermediate Data'!$C$48:$L$48</c:f>
              <c:numCache>
                <c:formatCode>General</c:formatCode>
                <c:ptCount val="10"/>
                <c:pt idx="0">
                  <c:v>2004</c:v>
                </c:pt>
                <c:pt idx="1">
                  <c:v>2008</c:v>
                </c:pt>
                <c:pt idx="2">
                  <c:v>2009</c:v>
                </c:pt>
                <c:pt idx="3">
                  <c:v>2010</c:v>
                </c:pt>
                <c:pt idx="4">
                  <c:v>2011</c:v>
                </c:pt>
                <c:pt idx="5">
                  <c:v>2012</c:v>
                </c:pt>
                <c:pt idx="6">
                  <c:v>2013</c:v>
                </c:pt>
                <c:pt idx="7">
                  <c:v>2014</c:v>
                </c:pt>
                <c:pt idx="8">
                  <c:v>2015</c:v>
                </c:pt>
                <c:pt idx="9">
                  <c:v>2016</c:v>
                </c:pt>
              </c:numCache>
            </c:numRef>
          </c:cat>
          <c:val>
            <c:numRef>
              <c:f>'Intermediate Data'!$C$57:$L$57</c:f>
              <c:numCache>
                <c:formatCode>0.00</c:formatCode>
                <c:ptCount val="10"/>
                <c:pt idx="1">
                  <c:v>0.62</c:v>
                </c:pt>
                <c:pt idx="2">
                  <c:v>0.62</c:v>
                </c:pt>
                <c:pt idx="3">
                  <c:v>0.62</c:v>
                </c:pt>
                <c:pt idx="4">
                  <c:v>0.62</c:v>
                </c:pt>
                <c:pt idx="5">
                  <c:v>0.62</c:v>
                </c:pt>
                <c:pt idx="6">
                  <c:v>0.62</c:v>
                </c:pt>
                <c:pt idx="7">
                  <c:v>0.62</c:v>
                </c:pt>
                <c:pt idx="8">
                  <c:v>0.62</c:v>
                </c:pt>
                <c:pt idx="9">
                  <c:v>0.62</c:v>
                </c:pt>
              </c:numCache>
            </c:numRef>
          </c:val>
          <c:smooth val="0"/>
        </c:ser>
        <c:ser>
          <c:idx val="6"/>
          <c:order val="4"/>
          <c:tx>
            <c:strRef>
              <c:f>'Intermediate Data'!$B$58</c:f>
              <c:strCache>
                <c:ptCount val="1"/>
                <c:pt idx="0">
                  <c:v>CEE 1 Storage</c:v>
                </c:pt>
              </c:strCache>
            </c:strRef>
          </c:tx>
          <c:spPr>
            <a:ln w="31750" cap="rnd">
              <a:solidFill>
                <a:schemeClr val="tx2">
                  <a:lumMod val="50000"/>
                </a:schemeClr>
              </a:solidFill>
              <a:prstDash val="sysDot"/>
              <a:round/>
            </a:ln>
            <a:effectLst/>
          </c:spPr>
          <c:marker>
            <c:symbol val="none"/>
          </c:marker>
          <c:cat>
            <c:numRef>
              <c:f>'Intermediate Data'!$C$48:$L$48</c:f>
              <c:numCache>
                <c:formatCode>General</c:formatCode>
                <c:ptCount val="10"/>
                <c:pt idx="0">
                  <c:v>2004</c:v>
                </c:pt>
                <c:pt idx="1">
                  <c:v>2008</c:v>
                </c:pt>
                <c:pt idx="2">
                  <c:v>2009</c:v>
                </c:pt>
                <c:pt idx="3">
                  <c:v>2010</c:v>
                </c:pt>
                <c:pt idx="4">
                  <c:v>2011</c:v>
                </c:pt>
                <c:pt idx="5">
                  <c:v>2012</c:v>
                </c:pt>
                <c:pt idx="6">
                  <c:v>2013</c:v>
                </c:pt>
                <c:pt idx="7">
                  <c:v>2014</c:v>
                </c:pt>
                <c:pt idx="8">
                  <c:v>2015</c:v>
                </c:pt>
                <c:pt idx="9">
                  <c:v>2016</c:v>
                </c:pt>
              </c:numCache>
            </c:numRef>
          </c:cat>
          <c:val>
            <c:numRef>
              <c:f>'Intermediate Data'!$C$58:$L$58</c:f>
              <c:numCache>
                <c:formatCode>0.00</c:formatCode>
                <c:ptCount val="10"/>
                <c:pt idx="1">
                  <c:v>0.67</c:v>
                </c:pt>
                <c:pt idx="2">
                  <c:v>0.67</c:v>
                </c:pt>
                <c:pt idx="3">
                  <c:v>0.67</c:v>
                </c:pt>
                <c:pt idx="4">
                  <c:v>0.67</c:v>
                </c:pt>
                <c:pt idx="5">
                  <c:v>0.67</c:v>
                </c:pt>
                <c:pt idx="6">
                  <c:v>0.67</c:v>
                </c:pt>
                <c:pt idx="7">
                  <c:v>0.67</c:v>
                </c:pt>
                <c:pt idx="8">
                  <c:v>0.67</c:v>
                </c:pt>
                <c:pt idx="9">
                  <c:v>0.67</c:v>
                </c:pt>
              </c:numCache>
            </c:numRef>
          </c:val>
          <c:smooth val="0"/>
        </c:ser>
        <c:ser>
          <c:idx val="7"/>
          <c:order val="5"/>
          <c:tx>
            <c:strRef>
              <c:f>'Intermediate Data'!$B$59</c:f>
              <c:strCache>
                <c:ptCount val="1"/>
                <c:pt idx="0">
                  <c:v>CEE 2 Storage</c:v>
                </c:pt>
              </c:strCache>
            </c:strRef>
          </c:tx>
          <c:spPr>
            <a:ln w="28575" cap="rnd">
              <a:solidFill>
                <a:schemeClr val="accent3">
                  <a:lumMod val="50000"/>
                </a:schemeClr>
              </a:solidFill>
              <a:prstDash val="sysDot"/>
              <a:round/>
            </a:ln>
            <a:effectLst/>
          </c:spPr>
          <c:marker>
            <c:symbol val="none"/>
          </c:marker>
          <c:cat>
            <c:numRef>
              <c:f>'Intermediate Data'!$C$48:$L$48</c:f>
              <c:numCache>
                <c:formatCode>General</c:formatCode>
                <c:ptCount val="10"/>
                <c:pt idx="0">
                  <c:v>2004</c:v>
                </c:pt>
                <c:pt idx="1">
                  <c:v>2008</c:v>
                </c:pt>
                <c:pt idx="2">
                  <c:v>2009</c:v>
                </c:pt>
                <c:pt idx="3">
                  <c:v>2010</c:v>
                </c:pt>
                <c:pt idx="4">
                  <c:v>2011</c:v>
                </c:pt>
                <c:pt idx="5">
                  <c:v>2012</c:v>
                </c:pt>
                <c:pt idx="6">
                  <c:v>2013</c:v>
                </c:pt>
                <c:pt idx="7">
                  <c:v>2014</c:v>
                </c:pt>
                <c:pt idx="8">
                  <c:v>2015</c:v>
                </c:pt>
                <c:pt idx="9">
                  <c:v>2016</c:v>
                </c:pt>
              </c:numCache>
            </c:numRef>
          </c:cat>
          <c:val>
            <c:numRef>
              <c:f>'Intermediate Data'!$C$59:$L$59</c:f>
              <c:numCache>
                <c:formatCode>0.00</c:formatCode>
                <c:ptCount val="10"/>
                <c:pt idx="1">
                  <c:v>0.8</c:v>
                </c:pt>
                <c:pt idx="2">
                  <c:v>0.8</c:v>
                </c:pt>
                <c:pt idx="3">
                  <c:v>0.8</c:v>
                </c:pt>
                <c:pt idx="4">
                  <c:v>0.8</c:v>
                </c:pt>
                <c:pt idx="5">
                  <c:v>0.8</c:v>
                </c:pt>
                <c:pt idx="6">
                  <c:v>0.8</c:v>
                </c:pt>
                <c:pt idx="7">
                  <c:v>0.8</c:v>
                </c:pt>
                <c:pt idx="8">
                  <c:v>0.8</c:v>
                </c:pt>
                <c:pt idx="9">
                  <c:v>0.8</c:v>
                </c:pt>
              </c:numCache>
            </c:numRef>
          </c:val>
          <c:smooth val="0"/>
        </c:ser>
        <c:dLbls>
          <c:showLegendKey val="0"/>
          <c:showVal val="0"/>
          <c:showCatName val="0"/>
          <c:showSerName val="0"/>
          <c:showPercent val="0"/>
          <c:showBubbleSize val="0"/>
        </c:dLbls>
        <c:smooth val="0"/>
        <c:axId val="162435264"/>
        <c:axId val="162435824"/>
        <c:extLst/>
      </c:lineChart>
      <c:dateAx>
        <c:axId val="1624352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2435824"/>
        <c:crosses val="autoZero"/>
        <c:auto val="0"/>
        <c:lblOffset val="100"/>
        <c:baseTimeUnit val="days"/>
        <c:minorUnit val="1"/>
      </c:dateAx>
      <c:valAx>
        <c:axId val="162435824"/>
        <c:scaling>
          <c:orientation val="minMax"/>
          <c:min val="0.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EF</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2435264"/>
        <c:crosses val="autoZero"/>
        <c:crossBetween val="between"/>
        <c:majorUnit val="0.1"/>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Electric Standard Volume (</a:t>
            </a:r>
            <a:r>
              <a:rPr lang="en-US">
                <a:latin typeface="Calibri" panose="020F0502020204030204" pitchFamily="34" charset="0"/>
              </a:rPr>
              <a:t>≤55</a:t>
            </a:r>
            <a:r>
              <a:rPr lang="en-US" baseline="0">
                <a:latin typeface="Calibri" panose="020F0502020204030204" pitchFamily="34" charset="0"/>
              </a:rPr>
              <a:t> gal) and Tankless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'Intermediate Data'!$B$49</c:f>
              <c:strCache>
                <c:ptCount val="1"/>
                <c:pt idx="0">
                  <c:v>Federal Minimum Storage</c:v>
                </c:pt>
              </c:strCache>
            </c:strRef>
          </c:tx>
          <c:spPr>
            <a:ln w="63500" cap="rnd">
              <a:solidFill>
                <a:schemeClr val="tx1">
                  <a:lumMod val="75000"/>
                  <a:lumOff val="25000"/>
                </a:schemeClr>
              </a:solidFill>
              <a:round/>
            </a:ln>
            <a:effectLst/>
          </c:spPr>
          <c:marker>
            <c:symbol val="none"/>
          </c:marker>
          <c:cat>
            <c:numRef>
              <c:f>'Intermediate Data'!$C$48:$L$48</c:f>
              <c:numCache>
                <c:formatCode>General</c:formatCode>
                <c:ptCount val="10"/>
                <c:pt idx="0">
                  <c:v>2004</c:v>
                </c:pt>
                <c:pt idx="1">
                  <c:v>2008</c:v>
                </c:pt>
                <c:pt idx="2">
                  <c:v>2009</c:v>
                </c:pt>
                <c:pt idx="3">
                  <c:v>2010</c:v>
                </c:pt>
                <c:pt idx="4">
                  <c:v>2011</c:v>
                </c:pt>
                <c:pt idx="5">
                  <c:v>2012</c:v>
                </c:pt>
                <c:pt idx="6">
                  <c:v>2013</c:v>
                </c:pt>
                <c:pt idx="7">
                  <c:v>2014</c:v>
                </c:pt>
                <c:pt idx="8">
                  <c:v>2015</c:v>
                </c:pt>
                <c:pt idx="9">
                  <c:v>2016</c:v>
                </c:pt>
              </c:numCache>
            </c:numRef>
          </c:cat>
          <c:val>
            <c:numRef>
              <c:f>'Intermediate Data'!$C$49:$L$49</c:f>
              <c:numCache>
                <c:formatCode>0.00</c:formatCode>
                <c:ptCount val="10"/>
                <c:pt idx="0">
                  <c:v>0.90399999999999991</c:v>
                </c:pt>
                <c:pt idx="1">
                  <c:v>0.90399999999999991</c:v>
                </c:pt>
                <c:pt idx="2">
                  <c:v>0.90399999999999991</c:v>
                </c:pt>
                <c:pt idx="3">
                  <c:v>0.90399999999999991</c:v>
                </c:pt>
                <c:pt idx="4">
                  <c:v>0.90399999999999991</c:v>
                </c:pt>
                <c:pt idx="5">
                  <c:v>0.90399999999999991</c:v>
                </c:pt>
                <c:pt idx="6">
                  <c:v>0.90399999999999991</c:v>
                </c:pt>
                <c:pt idx="7">
                  <c:v>0.90399999999999991</c:v>
                </c:pt>
                <c:pt idx="8">
                  <c:v>0.94499999999999995</c:v>
                </c:pt>
                <c:pt idx="9">
                  <c:v>0.94499999999999995</c:v>
                </c:pt>
              </c:numCache>
            </c:numRef>
          </c:val>
          <c:smooth val="0"/>
        </c:ser>
        <c:ser>
          <c:idx val="1"/>
          <c:order val="1"/>
          <c:tx>
            <c:strRef>
              <c:f>'Intermediate Data'!$B$50</c:f>
              <c:strCache>
                <c:ptCount val="1"/>
                <c:pt idx="0">
                  <c:v>Federal Minimum Tankless</c:v>
                </c:pt>
              </c:strCache>
            </c:strRef>
          </c:tx>
          <c:spPr>
            <a:ln w="38100" cap="rnd" cmpd="sng">
              <a:solidFill>
                <a:schemeClr val="accent6">
                  <a:lumMod val="75000"/>
                  <a:alpha val="75000"/>
                </a:schemeClr>
              </a:solidFill>
              <a:round/>
            </a:ln>
            <a:effectLst/>
          </c:spPr>
          <c:marker>
            <c:symbol val="none"/>
          </c:marker>
          <c:cat>
            <c:numRef>
              <c:f>'Intermediate Data'!$C$48:$L$48</c:f>
              <c:numCache>
                <c:formatCode>General</c:formatCode>
                <c:ptCount val="10"/>
                <c:pt idx="0">
                  <c:v>2004</c:v>
                </c:pt>
                <c:pt idx="1">
                  <c:v>2008</c:v>
                </c:pt>
                <c:pt idx="2">
                  <c:v>2009</c:v>
                </c:pt>
                <c:pt idx="3">
                  <c:v>2010</c:v>
                </c:pt>
                <c:pt idx="4">
                  <c:v>2011</c:v>
                </c:pt>
                <c:pt idx="5">
                  <c:v>2012</c:v>
                </c:pt>
                <c:pt idx="6">
                  <c:v>2013</c:v>
                </c:pt>
                <c:pt idx="7">
                  <c:v>2014</c:v>
                </c:pt>
                <c:pt idx="8">
                  <c:v>2015</c:v>
                </c:pt>
                <c:pt idx="9">
                  <c:v>2016</c:v>
                </c:pt>
              </c:numCache>
            </c:numRef>
          </c:cat>
          <c:val>
            <c:numRef>
              <c:f>'Intermediate Data'!$C$50:$L$50</c:f>
              <c:numCache>
                <c:formatCode>0.00</c:formatCode>
                <c:ptCount val="10"/>
                <c:pt idx="0">
                  <c:v>0.93</c:v>
                </c:pt>
                <c:pt idx="1">
                  <c:v>0.93</c:v>
                </c:pt>
                <c:pt idx="2">
                  <c:v>0.93</c:v>
                </c:pt>
                <c:pt idx="3">
                  <c:v>0.93</c:v>
                </c:pt>
                <c:pt idx="4">
                  <c:v>0.93</c:v>
                </c:pt>
                <c:pt idx="5">
                  <c:v>0.93</c:v>
                </c:pt>
                <c:pt idx="6">
                  <c:v>0.93</c:v>
                </c:pt>
                <c:pt idx="7">
                  <c:v>0.93</c:v>
                </c:pt>
                <c:pt idx="8">
                  <c:v>0.93</c:v>
                </c:pt>
                <c:pt idx="9">
                  <c:v>0.93</c:v>
                </c:pt>
              </c:numCache>
            </c:numRef>
          </c:val>
          <c:smooth val="0"/>
        </c:ser>
        <c:ser>
          <c:idx val="2"/>
          <c:order val="2"/>
          <c:tx>
            <c:strRef>
              <c:f>'Intermediate Data'!$B$51</c:f>
              <c:strCache>
                <c:ptCount val="1"/>
                <c:pt idx="0">
                  <c:v>ENERGY STAR Storage</c:v>
                </c:pt>
              </c:strCache>
            </c:strRef>
          </c:tx>
          <c:spPr>
            <a:ln w="63500" cap="rnd" cmpd="sng">
              <a:solidFill>
                <a:schemeClr val="accent5"/>
              </a:solidFill>
              <a:prstDash val="sysDash"/>
              <a:round/>
            </a:ln>
            <a:effectLst/>
          </c:spPr>
          <c:marker>
            <c:symbol val="none"/>
          </c:marker>
          <c:cat>
            <c:numRef>
              <c:f>'Intermediate Data'!$C$48:$L$48</c:f>
              <c:numCache>
                <c:formatCode>General</c:formatCode>
                <c:ptCount val="10"/>
                <c:pt idx="0">
                  <c:v>2004</c:v>
                </c:pt>
                <c:pt idx="1">
                  <c:v>2008</c:v>
                </c:pt>
                <c:pt idx="2">
                  <c:v>2009</c:v>
                </c:pt>
                <c:pt idx="3">
                  <c:v>2010</c:v>
                </c:pt>
                <c:pt idx="4">
                  <c:v>2011</c:v>
                </c:pt>
                <c:pt idx="5">
                  <c:v>2012</c:v>
                </c:pt>
                <c:pt idx="6">
                  <c:v>2013</c:v>
                </c:pt>
                <c:pt idx="7">
                  <c:v>2014</c:v>
                </c:pt>
                <c:pt idx="8">
                  <c:v>2015</c:v>
                </c:pt>
                <c:pt idx="9">
                  <c:v>2016</c:v>
                </c:pt>
              </c:numCache>
            </c:numRef>
          </c:cat>
          <c:val>
            <c:numRef>
              <c:f>'Intermediate Data'!$C$51:$L$51</c:f>
              <c:numCache>
                <c:formatCode>0.00</c:formatCode>
                <c:ptCount val="10"/>
                <c:pt idx="2">
                  <c:v>2</c:v>
                </c:pt>
                <c:pt idx="3">
                  <c:v>2</c:v>
                </c:pt>
                <c:pt idx="4">
                  <c:v>2</c:v>
                </c:pt>
                <c:pt idx="5">
                  <c:v>2</c:v>
                </c:pt>
                <c:pt idx="6">
                  <c:v>2</c:v>
                </c:pt>
                <c:pt idx="7">
                  <c:v>2</c:v>
                </c:pt>
                <c:pt idx="8">
                  <c:v>2</c:v>
                </c:pt>
                <c:pt idx="9">
                  <c:v>2</c:v>
                </c:pt>
              </c:numCache>
            </c:numRef>
          </c:val>
          <c:smooth val="0"/>
        </c:ser>
        <c:dLbls>
          <c:showLegendKey val="0"/>
          <c:showVal val="0"/>
          <c:showCatName val="0"/>
          <c:showSerName val="0"/>
          <c:showPercent val="0"/>
          <c:showBubbleSize val="0"/>
        </c:dLbls>
        <c:smooth val="0"/>
        <c:axId val="162922416"/>
        <c:axId val="162922976"/>
      </c:lineChart>
      <c:dateAx>
        <c:axId val="162922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2922976"/>
        <c:crosses val="autoZero"/>
        <c:auto val="0"/>
        <c:lblOffset val="100"/>
        <c:baseTimeUnit val="days"/>
        <c:minorUnit val="1"/>
      </c:dateAx>
      <c:valAx>
        <c:axId val="162922976"/>
        <c:scaling>
          <c:orientation val="minMax"/>
          <c:max val="2.5"/>
          <c:min val="0.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EF</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2922416"/>
        <c:crosses val="autoZero"/>
        <c:crossBetween val="between"/>
        <c:majorUnit val="0.5"/>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Electric Large Volume (</a:t>
            </a:r>
            <a:r>
              <a:rPr lang="en-US">
                <a:latin typeface="Calibri" panose="020F0502020204030204" pitchFamily="34" charset="0"/>
              </a:rPr>
              <a:t>&gt;55</a:t>
            </a:r>
            <a:r>
              <a:rPr lang="en-US" baseline="0">
                <a:latin typeface="Calibri" panose="020F0502020204030204" pitchFamily="34" charset="0"/>
              </a:rPr>
              <a:t> gal)</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'Intermediate Data'!$B$61</c:f>
              <c:strCache>
                <c:ptCount val="1"/>
                <c:pt idx="0">
                  <c:v>Federal Minimum Storage</c:v>
                </c:pt>
              </c:strCache>
            </c:strRef>
          </c:tx>
          <c:spPr>
            <a:ln w="63500" cap="rnd">
              <a:solidFill>
                <a:schemeClr val="tx1">
                  <a:lumMod val="75000"/>
                  <a:lumOff val="25000"/>
                </a:schemeClr>
              </a:solidFill>
              <a:round/>
            </a:ln>
            <a:effectLst/>
          </c:spPr>
          <c:marker>
            <c:symbol val="none"/>
          </c:marker>
          <c:cat>
            <c:numRef>
              <c:f>'Intermediate Data'!$C$48:$L$48</c:f>
              <c:numCache>
                <c:formatCode>General</c:formatCode>
                <c:ptCount val="10"/>
                <c:pt idx="0">
                  <c:v>2004</c:v>
                </c:pt>
                <c:pt idx="1">
                  <c:v>2008</c:v>
                </c:pt>
                <c:pt idx="2">
                  <c:v>2009</c:v>
                </c:pt>
                <c:pt idx="3">
                  <c:v>2010</c:v>
                </c:pt>
                <c:pt idx="4">
                  <c:v>2011</c:v>
                </c:pt>
                <c:pt idx="5">
                  <c:v>2012</c:v>
                </c:pt>
                <c:pt idx="6">
                  <c:v>2013</c:v>
                </c:pt>
                <c:pt idx="7">
                  <c:v>2014</c:v>
                </c:pt>
                <c:pt idx="8">
                  <c:v>2015</c:v>
                </c:pt>
                <c:pt idx="9">
                  <c:v>2016</c:v>
                </c:pt>
              </c:numCache>
            </c:numRef>
          </c:cat>
          <c:val>
            <c:numRef>
              <c:f>'Intermediate Data'!$C$61:$L$61</c:f>
              <c:numCache>
                <c:formatCode>0.00</c:formatCode>
                <c:ptCount val="10"/>
                <c:pt idx="0">
                  <c:v>0.90399999999999991</c:v>
                </c:pt>
                <c:pt idx="1">
                  <c:v>0.90399999999999991</c:v>
                </c:pt>
                <c:pt idx="2">
                  <c:v>0.90399999999999991</c:v>
                </c:pt>
                <c:pt idx="3">
                  <c:v>0.90399999999999991</c:v>
                </c:pt>
                <c:pt idx="4">
                  <c:v>0.90399999999999991</c:v>
                </c:pt>
                <c:pt idx="5">
                  <c:v>0.90399999999999991</c:v>
                </c:pt>
                <c:pt idx="6">
                  <c:v>0.90399999999999991</c:v>
                </c:pt>
                <c:pt idx="7">
                  <c:v>0.90399999999999991</c:v>
                </c:pt>
                <c:pt idx="8">
                  <c:v>1.9937199999999999</c:v>
                </c:pt>
                <c:pt idx="9">
                  <c:v>1.9937199999999999</c:v>
                </c:pt>
              </c:numCache>
            </c:numRef>
          </c:val>
          <c:smooth val="0"/>
        </c:ser>
        <c:ser>
          <c:idx val="2"/>
          <c:order val="1"/>
          <c:tx>
            <c:strRef>
              <c:f>'Intermediate Data'!$B$62</c:f>
              <c:strCache>
                <c:ptCount val="1"/>
                <c:pt idx="0">
                  <c:v>ENERGY STAR Storage</c:v>
                </c:pt>
              </c:strCache>
            </c:strRef>
          </c:tx>
          <c:spPr>
            <a:ln w="63500" cap="rnd" cmpd="sng">
              <a:solidFill>
                <a:schemeClr val="accent5"/>
              </a:solidFill>
              <a:prstDash val="sysDash"/>
              <a:round/>
            </a:ln>
            <a:effectLst/>
          </c:spPr>
          <c:marker>
            <c:symbol val="none"/>
          </c:marker>
          <c:cat>
            <c:numRef>
              <c:f>'Intermediate Data'!$C$48:$L$48</c:f>
              <c:numCache>
                <c:formatCode>General</c:formatCode>
                <c:ptCount val="10"/>
                <c:pt idx="0">
                  <c:v>2004</c:v>
                </c:pt>
                <c:pt idx="1">
                  <c:v>2008</c:v>
                </c:pt>
                <c:pt idx="2">
                  <c:v>2009</c:v>
                </c:pt>
                <c:pt idx="3">
                  <c:v>2010</c:v>
                </c:pt>
                <c:pt idx="4">
                  <c:v>2011</c:v>
                </c:pt>
                <c:pt idx="5">
                  <c:v>2012</c:v>
                </c:pt>
                <c:pt idx="6">
                  <c:v>2013</c:v>
                </c:pt>
                <c:pt idx="7">
                  <c:v>2014</c:v>
                </c:pt>
                <c:pt idx="8">
                  <c:v>2015</c:v>
                </c:pt>
                <c:pt idx="9">
                  <c:v>2016</c:v>
                </c:pt>
              </c:numCache>
            </c:numRef>
          </c:cat>
          <c:val>
            <c:numRef>
              <c:f>'Intermediate Data'!$C$62:$L$62</c:f>
              <c:numCache>
                <c:formatCode>0.00</c:formatCode>
                <c:ptCount val="10"/>
                <c:pt idx="2">
                  <c:v>2</c:v>
                </c:pt>
                <c:pt idx="3">
                  <c:v>2</c:v>
                </c:pt>
                <c:pt idx="4">
                  <c:v>2</c:v>
                </c:pt>
                <c:pt idx="5">
                  <c:v>2</c:v>
                </c:pt>
                <c:pt idx="6">
                  <c:v>2</c:v>
                </c:pt>
                <c:pt idx="7">
                  <c:v>2</c:v>
                </c:pt>
                <c:pt idx="8">
                  <c:v>2.2000000000000002</c:v>
                </c:pt>
                <c:pt idx="9">
                  <c:v>2.2000000000000002</c:v>
                </c:pt>
              </c:numCache>
            </c:numRef>
          </c:val>
          <c:smooth val="0"/>
        </c:ser>
        <c:dLbls>
          <c:showLegendKey val="0"/>
          <c:showVal val="0"/>
          <c:showCatName val="0"/>
          <c:showSerName val="0"/>
          <c:showPercent val="0"/>
          <c:showBubbleSize val="0"/>
        </c:dLbls>
        <c:smooth val="0"/>
        <c:axId val="162926896"/>
        <c:axId val="162927456"/>
        <c:extLst/>
      </c:lineChart>
      <c:dateAx>
        <c:axId val="1629268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2927456"/>
        <c:crosses val="autoZero"/>
        <c:auto val="0"/>
        <c:lblOffset val="100"/>
        <c:baseTimeUnit val="days"/>
        <c:minorUnit val="1"/>
      </c:dateAx>
      <c:valAx>
        <c:axId val="162927456"/>
        <c:scaling>
          <c:orientation val="minMax"/>
          <c:max val="2.5"/>
          <c:min val="0.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EF</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2926896"/>
        <c:crosses val="autoZero"/>
        <c:crossBetween val="between"/>
        <c:majorUnit val="0.5"/>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Drop" dropStyle="combo" dx="20" fmlaLink="'codes and specs view figures'!$B$5" fmlaRange="'codes and specs view figures'!$B$1:$B$4" noThreeD="1" sel="1" val="0"/>
</file>

<file path=xl/ctrlProps/ctrlProp2.xml><?xml version="1.0" encoding="utf-8"?>
<formControlPr xmlns="http://schemas.microsoft.com/office/spreadsheetml/2009/9/main" objectType="Drop" dropStyle="combo" dx="16" fmlaLink="'Intermediate Data'!$D$2" fmlaRange="IOUList2" noThreeD="1" sel="1" val="0"/>
</file>

<file path=xl/ctrlProps/ctrlProp3.xml><?xml version="1.0" encoding="utf-8"?>
<formControlPr xmlns="http://schemas.microsoft.com/office/spreadsheetml/2009/9/main" objectType="Drop" dropStyle="combo" dx="16" fmlaLink="'Intermediate Data'!$D$3" fmlaRange="IOUList" noThreeD="1" sel="5"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22</xdr:col>
      <xdr:colOff>80010</xdr:colOff>
      <xdr:row>23</xdr:row>
      <xdr:rowOff>34290</xdr:rowOff>
    </xdr:from>
    <xdr:to>
      <xdr:col>25</xdr:col>
      <xdr:colOff>38100</xdr:colOff>
      <xdr:row>25</xdr:row>
      <xdr:rowOff>53340</xdr:rowOff>
    </xdr:to>
    <xdr:sp macro="" textlink="">
      <xdr:nvSpPr>
        <xdr:cNvPr id="46" name="TextBox 45"/>
        <xdr:cNvSpPr txBox="1"/>
      </xdr:nvSpPr>
      <xdr:spPr>
        <a:xfrm>
          <a:off x="8595360" y="4844415"/>
          <a:ext cx="1129665"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400" i="1">
              <a:solidFill>
                <a:schemeClr val="bg1"/>
              </a:solidFill>
            </a:rPr>
            <a:t>Select view</a:t>
          </a:r>
        </a:p>
      </xdr:txBody>
    </xdr:sp>
    <xdr:clientData/>
  </xdr:twoCellAnchor>
  <mc:AlternateContent xmlns:mc="http://schemas.openxmlformats.org/markup-compatibility/2006">
    <mc:Choice xmlns:a14="http://schemas.microsoft.com/office/drawing/2010/main" Requires="a14">
      <xdr:twoCellAnchor editAs="oneCell">
        <xdr:from>
          <xdr:col>16</xdr:col>
          <xdr:colOff>76200</xdr:colOff>
          <xdr:row>23</xdr:row>
          <xdr:rowOff>66675</xdr:rowOff>
        </xdr:from>
        <xdr:to>
          <xdr:col>22</xdr:col>
          <xdr:colOff>57150</xdr:colOff>
          <xdr:row>24</xdr:row>
          <xdr:rowOff>95250</xdr:rowOff>
        </xdr:to>
        <xdr:sp macro="" textlink="">
          <xdr:nvSpPr>
            <xdr:cNvPr id="4694" name="Drop Down 598" hidden="1">
              <a:extLst>
                <a:ext uri="{63B3BB69-23CF-44E3-9099-C40C66FF867C}">
                  <a14:compatExt spid="_x0000_s469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26</xdr:row>
          <xdr:rowOff>0</xdr:rowOff>
        </xdr:from>
        <xdr:to>
          <xdr:col>32</xdr:col>
          <xdr:colOff>301625</xdr:colOff>
          <xdr:row>49</xdr:row>
          <xdr:rowOff>79375</xdr:rowOff>
        </xdr:to>
        <xdr:pic>
          <xdr:nvPicPr>
            <xdr:cNvPr id="4974" name="Picture 3"/>
            <xdr:cNvPicPr>
              <a:picLocks/>
              <a:extLst>
                <a:ext uri="{84589F7E-364E-4C9E-8A38-B11213B215E9}">
                  <a14:cameraTool cellRange="CSChoose" spid="_x0000_s17905"/>
                </a:ext>
              </a:extLst>
            </xdr:cNvPicPr>
          </xdr:nvPicPr>
          <xdr:blipFill>
            <a:blip xmlns:r="http://schemas.openxmlformats.org/officeDocument/2006/relationships" r:embed="rId1"/>
            <a:srcRect/>
            <a:stretch>
              <a:fillRect/>
            </a:stretch>
          </xdr:blipFill>
          <xdr:spPr bwMode="auto">
            <a:xfrm>
              <a:off x="6348413" y="5326063"/>
              <a:ext cx="6343650" cy="44196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23</xdr:row>
          <xdr:rowOff>76200</xdr:rowOff>
        </xdr:from>
        <xdr:to>
          <xdr:col>3</xdr:col>
          <xdr:colOff>0</xdr:colOff>
          <xdr:row>24</xdr:row>
          <xdr:rowOff>104775</xdr:rowOff>
        </xdr:to>
        <xdr:sp macro="" textlink="">
          <xdr:nvSpPr>
            <xdr:cNvPr id="17641" name="Drop Down 1257" hidden="1">
              <a:extLst>
                <a:ext uri="{63B3BB69-23CF-44E3-9099-C40C66FF867C}">
                  <a14:compatExt spid="_x0000_s1764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66675</xdr:colOff>
          <xdr:row>5</xdr:row>
          <xdr:rowOff>47625</xdr:rowOff>
        </xdr:from>
        <xdr:to>
          <xdr:col>20</xdr:col>
          <xdr:colOff>304800</xdr:colOff>
          <xdr:row>6</xdr:row>
          <xdr:rowOff>85725</xdr:rowOff>
        </xdr:to>
        <xdr:sp macro="" textlink="">
          <xdr:nvSpPr>
            <xdr:cNvPr id="17642" name="Drop Down 1258" hidden="1">
              <a:extLst>
                <a:ext uri="{63B3BB69-23CF-44E3-9099-C40C66FF867C}">
                  <a14:compatExt spid="_x0000_s1764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168275</xdr:colOff>
      <xdr:row>11</xdr:row>
      <xdr:rowOff>49213</xdr:rowOff>
    </xdr:from>
    <xdr:to>
      <xdr:col>3</xdr:col>
      <xdr:colOff>2393950</xdr:colOff>
      <xdr:row>26</xdr:row>
      <xdr:rowOff>47625</xdr:rowOff>
    </xdr:to>
    <xdr:grpSp>
      <xdr:nvGrpSpPr>
        <xdr:cNvPr id="15" name="Group 14"/>
        <xdr:cNvGrpSpPr/>
      </xdr:nvGrpSpPr>
      <xdr:grpSpPr>
        <a:xfrm>
          <a:off x="168275" y="2144713"/>
          <a:ext cx="9740900" cy="2855912"/>
          <a:chOff x="2654300" y="8393113"/>
          <a:chExt cx="9769475" cy="2436812"/>
        </a:xfrm>
      </xdr:grpSpPr>
      <xdr:grpSp>
        <xdr:nvGrpSpPr>
          <xdr:cNvPr id="6" name="Group 5"/>
          <xdr:cNvGrpSpPr/>
        </xdr:nvGrpSpPr>
        <xdr:grpSpPr>
          <a:xfrm>
            <a:off x="2654300" y="8393113"/>
            <a:ext cx="9769475" cy="2176462"/>
            <a:chOff x="158750" y="6611938"/>
            <a:chExt cx="9769475" cy="2176462"/>
          </a:xfrm>
        </xdr:grpSpPr>
        <xdr:sp macro="" textlink="">
          <xdr:nvSpPr>
            <xdr:cNvPr id="5" name="Rectangle 4"/>
            <xdr:cNvSpPr/>
          </xdr:nvSpPr>
          <xdr:spPr>
            <a:xfrm>
              <a:off x="158750" y="6611938"/>
              <a:ext cx="1603375" cy="2176462"/>
            </a:xfrm>
            <a:prstGeom prst="rect">
              <a:avLst/>
            </a:prstGeom>
            <a:solidFill>
              <a:schemeClr val="tx2">
                <a:lumMod val="40000"/>
                <a:lumOff val="6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solidFill>
                    <a:sysClr val="windowText" lastClr="000000"/>
                  </a:solidFill>
                </a:rPr>
                <a:t>Manufacturers</a:t>
              </a:r>
            </a:p>
          </xdr:txBody>
        </xdr:sp>
        <xdr:sp macro="" textlink="">
          <xdr:nvSpPr>
            <xdr:cNvPr id="7" name="Rectangle 6"/>
            <xdr:cNvSpPr/>
          </xdr:nvSpPr>
          <xdr:spPr>
            <a:xfrm>
              <a:off x="2576512" y="6699251"/>
              <a:ext cx="2111375" cy="876300"/>
            </a:xfrm>
            <a:prstGeom prst="rect">
              <a:avLst/>
            </a:prstGeom>
            <a:solidFill>
              <a:schemeClr val="accent4">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solidFill>
                    <a:sysClr val="windowText" lastClr="000000"/>
                  </a:solidFill>
                </a:rPr>
                <a:t>Retailers</a:t>
              </a:r>
            </a:p>
          </xdr:txBody>
        </xdr:sp>
        <xdr:sp macro="" textlink="">
          <xdr:nvSpPr>
            <xdr:cNvPr id="8" name="Rectangle 7"/>
            <xdr:cNvSpPr/>
          </xdr:nvSpPr>
          <xdr:spPr>
            <a:xfrm>
              <a:off x="2584448" y="7891462"/>
              <a:ext cx="2111377" cy="857250"/>
            </a:xfrm>
            <a:prstGeom prst="rect">
              <a:avLst/>
            </a:prstGeom>
            <a:solidFill>
              <a:schemeClr val="accent4">
                <a:lumMod val="40000"/>
                <a:lumOff val="6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solidFill>
                    <a:sysClr val="windowText" lastClr="000000"/>
                  </a:solidFill>
                </a:rPr>
                <a:t>Wholesalers/Distributors</a:t>
              </a:r>
            </a:p>
          </xdr:txBody>
        </xdr:sp>
        <xdr:sp macro="" textlink="">
          <xdr:nvSpPr>
            <xdr:cNvPr id="9" name="Right Arrow 8"/>
            <xdr:cNvSpPr/>
          </xdr:nvSpPr>
          <xdr:spPr>
            <a:xfrm>
              <a:off x="1833562" y="7023099"/>
              <a:ext cx="658813" cy="366713"/>
            </a:xfrm>
            <a:prstGeom prst="rightArrow">
              <a:avLst/>
            </a:prstGeom>
            <a:solidFill>
              <a:schemeClr val="accent3">
                <a:lumMod val="60000"/>
                <a:lumOff val="4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solidFill>
                    <a:sysClr val="windowText" lastClr="000000"/>
                  </a:solidFill>
                </a:rPr>
                <a:t>55%</a:t>
              </a:r>
            </a:p>
          </xdr:txBody>
        </xdr:sp>
        <xdr:sp macro="" textlink="">
          <xdr:nvSpPr>
            <xdr:cNvPr id="10" name="Right Arrow 9"/>
            <xdr:cNvSpPr/>
          </xdr:nvSpPr>
          <xdr:spPr>
            <a:xfrm>
              <a:off x="1817688" y="8045450"/>
              <a:ext cx="658813" cy="363537"/>
            </a:xfrm>
            <a:prstGeom prst="rightArrow">
              <a:avLst/>
            </a:prstGeom>
            <a:solidFill>
              <a:schemeClr val="accent3">
                <a:lumMod val="60000"/>
                <a:lumOff val="4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solidFill>
                    <a:sysClr val="windowText" lastClr="000000"/>
                  </a:solidFill>
                </a:rPr>
                <a:t>45%</a:t>
              </a:r>
            </a:p>
          </xdr:txBody>
        </xdr:sp>
        <xdr:sp macro="" textlink="">
          <xdr:nvSpPr>
            <xdr:cNvPr id="11" name="Rectangle 10"/>
            <xdr:cNvSpPr/>
          </xdr:nvSpPr>
          <xdr:spPr>
            <a:xfrm>
              <a:off x="5510216" y="7575549"/>
              <a:ext cx="1746248" cy="1204913"/>
            </a:xfrm>
            <a:prstGeom prst="rect">
              <a:avLst/>
            </a:prstGeom>
            <a:solidFill>
              <a:schemeClr val="accent4">
                <a:lumMod val="60000"/>
                <a:lumOff val="4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solidFill>
                    <a:sysClr val="windowText" lastClr="000000"/>
                  </a:solidFill>
                </a:rPr>
                <a:t>Installers</a:t>
              </a:r>
            </a:p>
          </xdr:txBody>
        </xdr:sp>
        <xdr:sp macro="" textlink="">
          <xdr:nvSpPr>
            <xdr:cNvPr id="12" name="Rectangle 11"/>
            <xdr:cNvSpPr/>
          </xdr:nvSpPr>
          <xdr:spPr>
            <a:xfrm>
              <a:off x="7602538" y="6619875"/>
              <a:ext cx="2325687" cy="817563"/>
            </a:xfrm>
            <a:prstGeom prst="rect">
              <a:avLst/>
            </a:prstGeom>
            <a:solidFill>
              <a:schemeClr val="accent6">
                <a:lumMod val="60000"/>
                <a:lumOff val="4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solidFill>
                    <a:sysClr val="windowText" lastClr="000000"/>
                  </a:solidFill>
                </a:rPr>
                <a:t>Homeowners</a:t>
              </a:r>
            </a:p>
          </xdr:txBody>
        </xdr:sp>
        <xdr:sp macro="" textlink="">
          <xdr:nvSpPr>
            <xdr:cNvPr id="13" name="Right Arrow 12"/>
            <xdr:cNvSpPr/>
          </xdr:nvSpPr>
          <xdr:spPr>
            <a:xfrm>
              <a:off x="4751388" y="8069262"/>
              <a:ext cx="687387" cy="419101"/>
            </a:xfrm>
            <a:prstGeom prst="rightArrow">
              <a:avLst/>
            </a:prstGeom>
            <a:solidFill>
              <a:schemeClr val="accent3">
                <a:lumMod val="60000"/>
                <a:lumOff val="4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solidFill>
                    <a:sysClr val="windowText" lastClr="000000"/>
                  </a:solidFill>
                </a:rPr>
                <a:t>40%</a:t>
              </a:r>
            </a:p>
          </xdr:txBody>
        </xdr:sp>
        <xdr:sp macro="" textlink="">
          <xdr:nvSpPr>
            <xdr:cNvPr id="14" name="Right Arrow 13"/>
            <xdr:cNvSpPr/>
          </xdr:nvSpPr>
          <xdr:spPr>
            <a:xfrm>
              <a:off x="4799013" y="6789738"/>
              <a:ext cx="2695575" cy="438152"/>
            </a:xfrm>
            <a:prstGeom prst="rightArrow">
              <a:avLst/>
            </a:prstGeom>
            <a:solidFill>
              <a:schemeClr val="accent3">
                <a:lumMod val="60000"/>
                <a:lumOff val="4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solidFill>
                    <a:sysClr val="windowText" lastClr="000000"/>
                  </a:solidFill>
                </a:rPr>
                <a:t>49%</a:t>
              </a:r>
            </a:p>
          </xdr:txBody>
        </xdr:sp>
        <xdr:sp macro="" textlink="">
          <xdr:nvSpPr>
            <xdr:cNvPr id="17" name="Right Arrow 16"/>
            <xdr:cNvSpPr/>
          </xdr:nvSpPr>
          <xdr:spPr>
            <a:xfrm rot="1186666">
              <a:off x="4799796" y="7398511"/>
              <a:ext cx="642967" cy="353212"/>
            </a:xfrm>
            <a:prstGeom prst="rightArrow">
              <a:avLst/>
            </a:prstGeom>
            <a:solidFill>
              <a:schemeClr val="accent2">
                <a:lumMod val="60000"/>
                <a:lumOff val="4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solidFill>
                    <a:sysClr val="windowText" lastClr="000000"/>
                  </a:solidFill>
                </a:rPr>
                <a:t>?</a:t>
              </a:r>
            </a:p>
          </xdr:txBody>
        </xdr:sp>
        <xdr:sp macro="" textlink="">
          <xdr:nvSpPr>
            <xdr:cNvPr id="21" name="Bent-Up Arrow 20"/>
            <xdr:cNvSpPr/>
          </xdr:nvSpPr>
          <xdr:spPr>
            <a:xfrm rot="5400000" flipV="1">
              <a:off x="7681122" y="7171533"/>
              <a:ext cx="608008" cy="1298575"/>
            </a:xfrm>
            <a:prstGeom prst="bentUpArrow">
              <a:avLst>
                <a:gd name="adj1" fmla="val 32092"/>
                <a:gd name="adj2" fmla="val 25000"/>
                <a:gd name="adj3" fmla="val 28615"/>
              </a:avLst>
            </a:prstGeom>
            <a:solidFill>
              <a:schemeClr val="accent3">
                <a:lumMod val="60000"/>
                <a:lumOff val="4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4" name="Bent-Up Arrow 23"/>
            <xdr:cNvSpPr/>
          </xdr:nvSpPr>
          <xdr:spPr>
            <a:xfrm>
              <a:off x="7327900" y="7516812"/>
              <a:ext cx="2298700" cy="1133475"/>
            </a:xfrm>
            <a:prstGeom prst="bentUpArrow">
              <a:avLst>
                <a:gd name="adj1" fmla="val 17982"/>
                <a:gd name="adj2" fmla="val 25000"/>
                <a:gd name="adj3" fmla="val 23400"/>
              </a:avLst>
            </a:prstGeom>
            <a:solidFill>
              <a:schemeClr val="accent3">
                <a:lumMod val="60000"/>
                <a:lumOff val="4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solidFill>
                    <a:sysClr val="windowText" lastClr="000000"/>
                  </a:solidFill>
                </a:rPr>
                <a:t>60%</a:t>
              </a:r>
            </a:p>
          </xdr:txBody>
        </xdr:sp>
      </xdr:grpSp>
      <xdr:sp macro="" textlink="">
        <xdr:nvSpPr>
          <xdr:cNvPr id="22" name="TextBox 21"/>
          <xdr:cNvSpPr txBox="1"/>
        </xdr:nvSpPr>
        <xdr:spPr>
          <a:xfrm>
            <a:off x="10206039" y="8691562"/>
            <a:ext cx="500061" cy="21383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t>20%</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0</xdr:colOff>
      <xdr:row>0</xdr:row>
      <xdr:rowOff>4410075</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1</xdr:row>
      <xdr:rowOff>0</xdr:rowOff>
    </xdr:from>
    <xdr:to>
      <xdr:col>1</xdr:col>
      <xdr:colOff>0</xdr:colOff>
      <xdr:row>1</xdr:row>
      <xdr:rowOff>4407408</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2</xdr:row>
      <xdr:rowOff>0</xdr:rowOff>
    </xdr:from>
    <xdr:to>
      <xdr:col>1</xdr:col>
      <xdr:colOff>2286</xdr:colOff>
      <xdr:row>2</xdr:row>
      <xdr:rowOff>4407408</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xdr:row>
      <xdr:rowOff>0</xdr:rowOff>
    </xdr:from>
    <xdr:to>
      <xdr:col>1</xdr:col>
      <xdr:colOff>11811</xdr:colOff>
      <xdr:row>3</xdr:row>
      <xdr:rowOff>4407408</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pivotCache/_rels/pivotCacheDefinition1.xml.rels><?xml version="1.0" encoding="UTF-8" standalone="yes"?>
<Relationships xmlns="http://schemas.openxmlformats.org/package/2006/relationships"><Relationship Id="rId2" Type="http://schemas.microsoft.com/office/2006/relationships/xlExternalLinkPath/xlPathMissing" Target="PLA%20Water%20Heater%20Dashboard%20DRAFT%2011-13-14.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1907.535006481485" createdVersion="4" refreshedVersion="5" minRefreshableVersion="3" recordCount="34">
  <cacheSource type="worksheet">
    <worksheetSource name="CodesandSpecs" r:id="rId2"/>
  </cacheSource>
  <cacheFields count="9">
    <cacheField name="Fuel" numFmtId="0">
      <sharedItems containsBlank="1" count="6">
        <s v="Electric"/>
        <s v="Gas"/>
        <s v="Solar"/>
        <m u="1"/>
        <s v="Solar w/electric" u="1"/>
        <s v="Solar w/gas" u="1"/>
      </sharedItems>
    </cacheField>
    <cacheField name="Spec" numFmtId="0">
      <sharedItems count="23">
        <s v="Federal Minimum Storage"/>
        <s v="Federal Minimum Tankless"/>
        <s v="ENERGY STAR Storage"/>
        <s v="ENERGY STAR Condensing"/>
        <s v="CEE 0 Storage"/>
        <s v="CEE 1 Storage"/>
        <s v="CEE 2 Storage"/>
        <s v="CEE 1 Tankless"/>
        <s v="ENERGY STAR Tankless"/>
        <s v="ENERGY STAR EPACT"/>
        <s v="ENERGY STAR Solar"/>
        <s v="ENERGY STAR Solar - Electric backup"/>
        <s v="ENERGY STAR Solar - Gas backup"/>
        <s v="Program" u="1"/>
        <s v="Code Storage" u="1"/>
        <s v="Code Tankless" u="1"/>
        <s v="CEE 2" u="1"/>
        <s v="Code" u="1"/>
        <s v="CEE 1" u="1"/>
        <s v="Code Storage (&gt;55 gal)" u="1"/>
        <s v="CEE 0" u="1"/>
        <s v="Energy Star" u="1"/>
        <s v="Code Storage (≤55 gal)" u="1"/>
      </sharedItems>
    </cacheField>
    <cacheField name="Tank Size (Storage only)" numFmtId="0">
      <sharedItems containsBlank="1" count="4">
        <s v="Any"/>
        <s v="≤55 gal"/>
        <s v="&gt;55 gal"/>
        <m/>
      </sharedItems>
    </cacheField>
    <cacheField name="Requirement Units" numFmtId="0">
      <sharedItems count="4">
        <s v="EF"/>
        <s v="TE"/>
        <s v="SF"/>
        <s v="SEF"/>
      </sharedItems>
    </cacheField>
    <cacheField name="Requirement" numFmtId="2">
      <sharedItems containsSemiMixedTypes="0" containsString="0" containsNumber="1" minValue="0.5" maxValue="2.2000000000000002"/>
    </cacheField>
    <cacheField name="Effective Date" numFmtId="17">
      <sharedItems containsSemiMixedTypes="0" containsNonDate="0" containsDate="1" containsString="0" minDate="2004-01-01T00:00:00" maxDate="2015-04-17T00:00:00" count="6">
        <d v="2004-01-01T00:00:00"/>
        <d v="2015-04-16T00:00:00"/>
        <d v="2009-01-05T00:00:00"/>
        <d v="2013-07-01T00:00:00"/>
        <d v="2008-01-01T00:00:00"/>
        <d v="2010-09-01T00:00:00"/>
      </sharedItems>
      <fieldGroup base="5">
        <rangePr groupBy="years" startDate="2004-01-01T00:00:00" endDate="2015-04-17T00:00:00"/>
        <groupItems count="14">
          <s v="&lt;1/1/2004"/>
          <s v="2004"/>
          <s v="2005"/>
          <s v="2006"/>
          <s v="2007"/>
          <s v="2008"/>
          <s v="2009"/>
          <s v="2010"/>
          <s v="2011"/>
          <s v="2012"/>
          <s v="2013"/>
          <s v="2014"/>
          <s v="2015"/>
          <s v="&gt;4/17/2015"/>
        </groupItems>
      </fieldGroup>
    </cacheField>
    <cacheField name="End Date" numFmtId="0">
      <sharedItems containsNonDate="0" containsString="0" containsBlank="1"/>
    </cacheField>
    <cacheField name="Source ID" numFmtId="0">
      <sharedItems containsSemiMixedTypes="0" containsString="0" containsNumber="1" containsInteger="1" minValue="10013" maxValue="10017"/>
    </cacheField>
    <cacheField name="CodeLessThan" numFmtId="0" formula="MAX(Requirement)" databaseField="0"/>
  </cacheFields>
  <extLst>
    <ext xmlns:x14="http://schemas.microsoft.com/office/spreadsheetml/2009/9/main" uri="{725AE2AE-9491-48be-B2B4-4EB974FC3084}">
      <x14:pivotCacheDefinition pivotCacheId="4"/>
    </ext>
  </extLst>
</pivotCacheDefinition>
</file>

<file path=xl/pivotCache/pivotCacheRecords1.xml><?xml version="1.0" encoding="utf-8"?>
<pivotCacheRecords xmlns="http://schemas.openxmlformats.org/spreadsheetml/2006/main" xmlns:r="http://schemas.openxmlformats.org/officeDocument/2006/relationships" count="34">
  <r>
    <x v="0"/>
    <x v="0"/>
    <x v="0"/>
    <x v="0"/>
    <n v="0.90399999999999991"/>
    <x v="0"/>
    <m/>
    <n v="10013"/>
  </r>
  <r>
    <x v="0"/>
    <x v="0"/>
    <x v="1"/>
    <x v="0"/>
    <n v="0.94499999999999995"/>
    <x v="1"/>
    <m/>
    <n v="10013"/>
  </r>
  <r>
    <x v="0"/>
    <x v="0"/>
    <x v="2"/>
    <x v="0"/>
    <n v="1.9937199999999999"/>
    <x v="1"/>
    <m/>
    <n v="10013"/>
  </r>
  <r>
    <x v="0"/>
    <x v="1"/>
    <x v="3"/>
    <x v="0"/>
    <n v="0.93"/>
    <x v="0"/>
    <m/>
    <n v="10013"/>
  </r>
  <r>
    <x v="0"/>
    <x v="1"/>
    <x v="3"/>
    <x v="0"/>
    <n v="0.93"/>
    <x v="1"/>
    <m/>
    <n v="10013"/>
  </r>
  <r>
    <x v="0"/>
    <x v="2"/>
    <x v="0"/>
    <x v="0"/>
    <n v="2"/>
    <x v="2"/>
    <m/>
    <n v="10014"/>
  </r>
  <r>
    <x v="0"/>
    <x v="2"/>
    <x v="0"/>
    <x v="0"/>
    <n v="2"/>
    <x v="3"/>
    <m/>
    <n v="10015"/>
  </r>
  <r>
    <x v="0"/>
    <x v="2"/>
    <x v="1"/>
    <x v="0"/>
    <n v="2"/>
    <x v="1"/>
    <m/>
    <n v="10016"/>
  </r>
  <r>
    <x v="0"/>
    <x v="2"/>
    <x v="2"/>
    <x v="0"/>
    <n v="2.2000000000000002"/>
    <x v="1"/>
    <m/>
    <n v="10016"/>
  </r>
  <r>
    <x v="1"/>
    <x v="0"/>
    <x v="0"/>
    <x v="0"/>
    <n v="0.59400000000000008"/>
    <x v="0"/>
    <m/>
    <n v="10013"/>
  </r>
  <r>
    <x v="1"/>
    <x v="0"/>
    <x v="1"/>
    <x v="0"/>
    <n v="0.61499999999999999"/>
    <x v="1"/>
    <m/>
    <n v="10013"/>
  </r>
  <r>
    <x v="1"/>
    <x v="0"/>
    <x v="2"/>
    <x v="0"/>
    <n v="0.75751999999999997"/>
    <x v="1"/>
    <m/>
    <n v="10013"/>
  </r>
  <r>
    <x v="1"/>
    <x v="1"/>
    <x v="3"/>
    <x v="0"/>
    <n v="0.62"/>
    <x v="0"/>
    <m/>
    <n v="10013"/>
  </r>
  <r>
    <x v="1"/>
    <x v="1"/>
    <x v="3"/>
    <x v="0"/>
    <n v="0.82"/>
    <x v="1"/>
    <m/>
    <n v="10013"/>
  </r>
  <r>
    <x v="1"/>
    <x v="2"/>
    <x v="0"/>
    <x v="0"/>
    <n v="0.62"/>
    <x v="4"/>
    <m/>
    <n v="10014"/>
  </r>
  <r>
    <x v="1"/>
    <x v="2"/>
    <x v="0"/>
    <x v="0"/>
    <n v="0.67"/>
    <x v="5"/>
    <m/>
    <n v="10014"/>
  </r>
  <r>
    <x v="1"/>
    <x v="2"/>
    <x v="0"/>
    <x v="0"/>
    <n v="0.67"/>
    <x v="3"/>
    <m/>
    <n v="10015"/>
  </r>
  <r>
    <x v="1"/>
    <x v="2"/>
    <x v="1"/>
    <x v="0"/>
    <n v="0.67"/>
    <x v="1"/>
    <m/>
    <n v="10016"/>
  </r>
  <r>
    <x v="1"/>
    <x v="2"/>
    <x v="2"/>
    <x v="0"/>
    <n v="0.77"/>
    <x v="1"/>
    <m/>
    <n v="10016"/>
  </r>
  <r>
    <x v="1"/>
    <x v="3"/>
    <x v="0"/>
    <x v="0"/>
    <n v="0.8"/>
    <x v="2"/>
    <m/>
    <n v="10014"/>
  </r>
  <r>
    <x v="1"/>
    <x v="4"/>
    <x v="0"/>
    <x v="0"/>
    <n v="0.62"/>
    <x v="4"/>
    <m/>
    <n v="10017"/>
  </r>
  <r>
    <x v="1"/>
    <x v="5"/>
    <x v="0"/>
    <x v="0"/>
    <n v="0.67"/>
    <x v="4"/>
    <m/>
    <n v="10017"/>
  </r>
  <r>
    <x v="1"/>
    <x v="6"/>
    <x v="0"/>
    <x v="0"/>
    <n v="0.8"/>
    <x v="4"/>
    <m/>
    <n v="10017"/>
  </r>
  <r>
    <x v="1"/>
    <x v="7"/>
    <x v="0"/>
    <x v="0"/>
    <n v="0.82"/>
    <x v="4"/>
    <m/>
    <n v="10017"/>
  </r>
  <r>
    <x v="1"/>
    <x v="8"/>
    <x v="3"/>
    <x v="0"/>
    <n v="0.82"/>
    <x v="2"/>
    <m/>
    <n v="10014"/>
  </r>
  <r>
    <x v="1"/>
    <x v="8"/>
    <x v="3"/>
    <x v="0"/>
    <n v="0.82"/>
    <x v="3"/>
    <m/>
    <n v="10015"/>
  </r>
  <r>
    <x v="1"/>
    <x v="8"/>
    <x v="3"/>
    <x v="0"/>
    <n v="0.9"/>
    <x v="1"/>
    <m/>
    <n v="10016"/>
  </r>
  <r>
    <x v="1"/>
    <x v="9"/>
    <x v="0"/>
    <x v="1"/>
    <n v="0.9"/>
    <x v="3"/>
    <m/>
    <n v="10015"/>
  </r>
  <r>
    <x v="1"/>
    <x v="9"/>
    <x v="0"/>
    <x v="1"/>
    <n v="0.9"/>
    <x v="1"/>
    <m/>
    <n v="10016"/>
  </r>
  <r>
    <x v="2"/>
    <x v="10"/>
    <x v="0"/>
    <x v="2"/>
    <n v="0.5"/>
    <x v="2"/>
    <m/>
    <n v="10014"/>
  </r>
  <r>
    <x v="2"/>
    <x v="11"/>
    <x v="0"/>
    <x v="3"/>
    <n v="1.8"/>
    <x v="3"/>
    <m/>
    <n v="10015"/>
  </r>
  <r>
    <x v="2"/>
    <x v="12"/>
    <x v="0"/>
    <x v="3"/>
    <n v="1.2"/>
    <x v="3"/>
    <m/>
    <n v="10015"/>
  </r>
  <r>
    <x v="2"/>
    <x v="11"/>
    <x v="0"/>
    <x v="3"/>
    <n v="1.8"/>
    <x v="1"/>
    <m/>
    <n v="10016"/>
  </r>
  <r>
    <x v="2"/>
    <x v="12"/>
    <x v="0"/>
    <x v="3"/>
    <n v="1.2"/>
    <x v="1"/>
    <m/>
    <n v="1001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0" applyNumberFormats="0" applyBorderFormats="0" applyFontFormats="0" applyPatternFormats="0" applyAlignmentFormats="0" applyWidthHeightFormats="1" dataCaption="Values" updatedVersion="5" minRefreshableVersion="3" useAutoFormatting="1" rowGrandTotals="0" colGrandTotals="0" itemPrintTitles="1" createdVersion="4" indent="0" outline="1" outlineData="1" multipleFieldFilters="0" chartFormat="2">
  <location ref="N51:T66" firstHeaderRow="1" firstDataRow="2" firstDataCol="1" rowPageCount="2" colPageCount="1"/>
  <pivotFields count="9">
    <pivotField axis="axisRow" showAll="0" defaultSubtotal="0">
      <items count="6">
        <item x="0"/>
        <item x="1"/>
        <item x="2"/>
        <item m="1" x="4"/>
        <item m="1" x="5"/>
        <item m="1" x="3"/>
      </items>
    </pivotField>
    <pivotField axis="axisRow" showAll="0">
      <items count="24">
        <item m="1" x="20"/>
        <item x="4"/>
        <item m="1" x="18"/>
        <item x="5"/>
        <item x="7"/>
        <item m="1" x="16"/>
        <item x="6"/>
        <item m="1" x="17"/>
        <item m="1" x="14"/>
        <item m="1" x="19"/>
        <item m="1" x="22"/>
        <item m="1" x="15"/>
        <item m="1" x="21"/>
        <item x="3"/>
        <item x="9"/>
        <item x="10"/>
        <item x="2"/>
        <item x="8"/>
        <item m="1" x="13"/>
        <item x="11"/>
        <item x="12"/>
        <item x="0"/>
        <item x="1"/>
        <item t="default"/>
      </items>
    </pivotField>
    <pivotField axis="axisPage" multipleItemSelectionAllowed="1" showAll="0" defaultSubtotal="0">
      <items count="4">
        <item h="1" x="2"/>
        <item x="1"/>
        <item x="0"/>
        <item x="3"/>
      </items>
    </pivotField>
    <pivotField axis="axisPage" multipleItemSelectionAllowed="1" showAll="0" defaultSubtotal="0">
      <items count="4">
        <item x="0"/>
        <item h="1" x="3"/>
        <item h="1" x="2"/>
        <item h="1" x="1"/>
      </items>
    </pivotField>
    <pivotField dataField="1" showAll="0"/>
    <pivotField axis="axisCol" numFmtId="17" showAll="0" defaultSubtotal="0">
      <items count="14">
        <item x="0"/>
        <item x="1"/>
        <item x="2"/>
        <item x="3"/>
        <item x="4"/>
        <item x="5"/>
        <item x="6"/>
        <item x="7"/>
        <item x="8"/>
        <item x="9"/>
        <item x="10"/>
        <item x="11"/>
        <item x="12"/>
        <item x="13"/>
      </items>
    </pivotField>
    <pivotField showAll="0"/>
    <pivotField showAll="0" defaultSubtotal="0"/>
    <pivotField dragToRow="0" dragToCol="0" dragToPage="0" showAll="0" defaultSubtotal="0"/>
  </pivotFields>
  <rowFields count="2">
    <field x="0"/>
    <field x="1"/>
  </rowFields>
  <rowItems count="14">
    <i>
      <x/>
    </i>
    <i r="1">
      <x v="16"/>
    </i>
    <i r="1">
      <x v="21"/>
    </i>
    <i r="1">
      <x v="22"/>
    </i>
    <i>
      <x v="1"/>
    </i>
    <i r="1">
      <x v="1"/>
    </i>
    <i r="1">
      <x v="3"/>
    </i>
    <i r="1">
      <x v="4"/>
    </i>
    <i r="1">
      <x v="6"/>
    </i>
    <i r="1">
      <x v="13"/>
    </i>
    <i r="1">
      <x v="16"/>
    </i>
    <i r="1">
      <x v="17"/>
    </i>
    <i r="1">
      <x v="21"/>
    </i>
    <i r="1">
      <x v="22"/>
    </i>
  </rowItems>
  <colFields count="1">
    <field x="5"/>
  </colFields>
  <colItems count="6">
    <i>
      <x v="1"/>
    </i>
    <i>
      <x v="5"/>
    </i>
    <i>
      <x v="6"/>
    </i>
    <i>
      <x v="7"/>
    </i>
    <i>
      <x v="10"/>
    </i>
    <i>
      <x v="12"/>
    </i>
  </colItems>
  <pageFields count="2">
    <pageField fld="2" hier="-1"/>
    <pageField fld="3" hier="-1"/>
  </pageFields>
  <dataFields count="1">
    <dataField name="Sum of Requirement" fld="4" baseField="0" baseItem="0"/>
  </dataFields>
  <formats count="13">
    <format dxfId="12">
      <pivotArea type="all" dataOnly="0" outline="0" fieldPosition="0"/>
    </format>
    <format dxfId="11">
      <pivotArea outline="0" collapsedLevelsAreSubtotals="1" fieldPosition="0"/>
    </format>
    <format dxfId="10">
      <pivotArea dataOnly="0" labelOnly="1" fieldPosition="0">
        <references count="1">
          <reference field="0" count="2">
            <x v="0"/>
            <x v="1"/>
          </reference>
        </references>
      </pivotArea>
    </format>
    <format dxfId="9">
      <pivotArea dataOnly="0" labelOnly="1" fieldPosition="0">
        <references count="2">
          <reference field="0" count="1" selected="0">
            <x v="0"/>
          </reference>
          <reference field="1" count="7">
            <x v="1"/>
            <x v="3"/>
            <x v="4"/>
            <x v="6"/>
            <x v="13"/>
            <x v="16"/>
            <x v="21"/>
          </reference>
        </references>
      </pivotArea>
    </format>
    <format dxfId="8">
      <pivotArea dataOnly="0" labelOnly="1" fieldPosition="0">
        <references count="1">
          <reference field="5" count="6">
            <x v="1"/>
            <x v="5"/>
            <x v="6"/>
            <x v="7"/>
            <x v="10"/>
            <x v="12"/>
          </reference>
        </references>
      </pivotArea>
    </format>
    <format dxfId="7">
      <pivotArea dataOnly="0" labelOnly="1" fieldPosition="0">
        <references count="2">
          <reference field="0" count="1" selected="0">
            <x v="0"/>
          </reference>
          <reference field="1" count="2">
            <x v="21"/>
            <x v="22"/>
          </reference>
        </references>
      </pivotArea>
    </format>
    <format dxfId="6">
      <pivotArea outline="0" collapsedLevelsAreSubtotals="1" fieldPosition="0">
        <references count="1">
          <reference field="5" count="5" selected="0">
            <x v="1"/>
            <x v="5"/>
            <x v="6"/>
            <x v="7"/>
            <x v="10"/>
          </reference>
        </references>
      </pivotArea>
    </format>
    <format dxfId="5">
      <pivotArea dataOnly="0" labelOnly="1" fieldPosition="0">
        <references count="1">
          <reference field="0" count="2">
            <x v="0"/>
            <x v="1"/>
          </reference>
        </references>
      </pivotArea>
    </format>
    <format dxfId="4">
      <pivotArea dataOnly="0" labelOnly="1" fieldPosition="0">
        <references count="2">
          <reference field="0" count="1" selected="0">
            <x v="0"/>
          </reference>
          <reference field="1" count="9">
            <x v="1"/>
            <x v="3"/>
            <x v="4"/>
            <x v="6"/>
            <x v="13"/>
            <x v="16"/>
            <x v="17"/>
            <x v="21"/>
            <x v="22"/>
          </reference>
        </references>
      </pivotArea>
    </format>
    <format dxfId="3">
      <pivotArea dataOnly="0" labelOnly="1" fieldPosition="0">
        <references count="1">
          <reference field="5" count="5">
            <x v="1"/>
            <x v="5"/>
            <x v="6"/>
            <x v="7"/>
            <x v="10"/>
          </reference>
        </references>
      </pivotArea>
    </format>
    <format dxfId="2">
      <pivotArea outline="0" collapsedLevelsAreSubtotals="1" fieldPosition="0">
        <references count="1">
          <reference field="5" count="1" selected="0">
            <x v="12"/>
          </reference>
        </references>
      </pivotArea>
    </format>
    <format dxfId="1">
      <pivotArea type="topRight" dataOnly="0" labelOnly="1" outline="0" offset="E1" fieldPosition="0"/>
    </format>
    <format dxfId="0">
      <pivotArea dataOnly="0" labelOnly="1" fieldPosition="0">
        <references count="1">
          <reference field="5" count="1">
            <x v="12"/>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ables/table1.xml><?xml version="1.0" encoding="utf-8"?>
<table xmlns="http://schemas.openxmlformats.org/spreadsheetml/2006/main" id="3" name="CodesandSpecs" displayName="CodesandSpecs" ref="A2:J36" totalsRowShown="0" headerRowDxfId="17" headerRowCellStyle="Normal 2">
  <autoFilter ref="A2:J36"/>
  <sortState ref="A3:H38">
    <sortCondition ref="A2:A38"/>
  </sortState>
  <tableColumns count="10">
    <tableColumn id="2" name="Fuel" dataCellStyle="Normal 2"/>
    <tableColumn id="4" name="Spec" dataDxfId="16" dataCellStyle="Normal 2"/>
    <tableColumn id="8" name="Tank Size (Storage only)"/>
    <tableColumn id="3" name="Requirement Units" dataDxfId="15" dataCellStyle="Normal 2"/>
    <tableColumn id="5" name="Requirement" dataDxfId="14" dataCellStyle="Normal 2"/>
    <tableColumn id="6" name="Effective Date" dataDxfId="13" dataCellStyle="Normal 2"/>
    <tableColumn id="9" name="Source ID" dataCellStyle="Normal 2"/>
    <tableColumn id="12" name="UEC kWh" dataCellStyle="Normal 2"/>
    <tableColumn id="11" name="UEC Therms" dataCellStyle="Normal 2"/>
    <tableColumn id="13" name="Source" dataCellStyle="Normal 2"/>
  </tableColumns>
  <tableStyleInfo name="TableStyleLight1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8" Type="http://schemas.openxmlformats.org/officeDocument/2006/relationships/hyperlink" Target="http://www.energystar.gov/sites/default/files/specs/ENERGY%20STAR%20Water%20Heaters%20Version%203%200%20Program%20Requirements.pdf" TargetMode="External"/><Relationship Id="rId13" Type="http://schemas.openxmlformats.org/officeDocument/2006/relationships/hyperlink" Target="http://www.aceee.org/sites/default/files/publications/researchreports/a121.pdf" TargetMode="External"/><Relationship Id="rId18" Type="http://schemas.openxmlformats.org/officeDocument/2006/relationships/hyperlink" Target="http://www.apscservices.info/EEInfo/EEReports/CenterPoint%202013.pdf" TargetMode="External"/><Relationship Id="rId3" Type="http://schemas.openxmlformats.org/officeDocument/2006/relationships/hyperlink" Target="http://www.etcc-ca.com/sites/default/files/reports/PGE%20Water%20Heater%20ET%20Final%20Report%20-%20FINAL.pdf" TargetMode="External"/><Relationship Id="rId21" Type="http://schemas.openxmlformats.org/officeDocument/2006/relationships/hyperlink" Target="http://btric.ornl.gov/pdfs/WaterHeatingTechnologiesRoadmap_9-30-2011_FINAL.pdf" TargetMode="External"/><Relationship Id="rId7" Type="http://schemas.openxmlformats.org/officeDocument/2006/relationships/hyperlink" Target="http://www.regulations.gov/contentStreamer?objectId=0900006480ad8951&amp;disposition=attachment&amp;contentType=pdf" TargetMode="External"/><Relationship Id="rId12" Type="http://schemas.openxmlformats.org/officeDocument/2006/relationships/hyperlink" Target="http://www.energystar.gov/ia/partners/prod_development/new_specs/downloads/water_heaters/Water_Heater_Market_Profile_2010.pdf" TargetMode="External"/><Relationship Id="rId17" Type="http://schemas.openxmlformats.org/officeDocument/2006/relationships/hyperlink" Target="http://library.cee1.org/sites/default/files/library/11971/CEE_ResWaterHeating_2014ProgramSummary_12-22-14.xlsx" TargetMode="External"/><Relationship Id="rId2" Type="http://schemas.openxmlformats.org/officeDocument/2006/relationships/hyperlink" Target="http://websafe.kemainc.com/rass2009/Default.aspx" TargetMode="External"/><Relationship Id="rId16" Type="http://schemas.openxmlformats.org/officeDocument/2006/relationships/hyperlink" Target="http://www.calmac.org/publications/heer__bce_083012_final.pdf" TargetMode="External"/><Relationship Id="rId20" Type="http://schemas.openxmlformats.org/officeDocument/2006/relationships/hyperlink" Target="http://neea.org/docs/reports/2011waterheatermarketupdatea273dbb87ca3.pdf" TargetMode="External"/><Relationship Id="rId1" Type="http://schemas.openxmlformats.org/officeDocument/2006/relationships/hyperlink" Target="http://websafe.kemainc.com/rass2009/Default.aspx" TargetMode="External"/><Relationship Id="rId6" Type="http://schemas.openxmlformats.org/officeDocument/2006/relationships/hyperlink" Target="http://www.energystar.gov/ia/partners/downloads/unit_shipment_data/2013_USD_Summary_Report.pdf" TargetMode="External"/><Relationship Id="rId11" Type="http://schemas.openxmlformats.org/officeDocument/2006/relationships/hyperlink" Target="http://library.cee1.org/sites/default/files/library/7520/CEE_WH_Initiative_Description_3-27-2008.pdf" TargetMode="External"/><Relationship Id="rId5" Type="http://schemas.openxmlformats.org/officeDocument/2006/relationships/hyperlink" Target="http://www.energystar.gov/ia/partners/downloads/unit_shipment_data/2012_USD_Summary_Report.pdf" TargetMode="External"/><Relationship Id="rId15" Type="http://schemas.openxmlformats.org/officeDocument/2006/relationships/hyperlink" Target="http://www.calmac.org/publications/2010-2012_WO017_Ex_Ante_Measure_Cost_Study_-_Final_Report.pdf" TargetMode="External"/><Relationship Id="rId10" Type="http://schemas.openxmlformats.org/officeDocument/2006/relationships/hyperlink" Target="http://www.energystar.gov/sites/default/files/specs/ENERGY%20STAR%20Water%20Heaters%20V2%200%20Program%20Requirements.pdf" TargetMode="External"/><Relationship Id="rId19" Type="http://schemas.openxmlformats.org/officeDocument/2006/relationships/hyperlink" Target="http://www.deeresources.com/index.php/deer-versions/deer2011-for-13-14" TargetMode="External"/><Relationship Id="rId4" Type="http://schemas.openxmlformats.org/officeDocument/2006/relationships/hyperlink" Target="http://cloud.cdhenergy.com/dhw_coe/documents/reports/aceee_final_a112.pdf" TargetMode="External"/><Relationship Id="rId9" Type="http://schemas.openxmlformats.org/officeDocument/2006/relationships/hyperlink" Target="http://www.energystar.gov/ia/partners/prod_development/new_specs/downloads/water_heaters/WaterHeater_ProgramRequirements.pdf?7c93-56f8" TargetMode="External"/><Relationship Id="rId14" Type="http://schemas.openxmlformats.org/officeDocument/2006/relationships/hyperlink" Target="http://www.regulations.gov/" TargetMode="External"/><Relationship Id="rId22"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C000"/>
  </sheetPr>
  <dimension ref="A1:AL136"/>
  <sheetViews>
    <sheetView showGridLines="0" tabSelected="1" workbookViewId="0">
      <pane ySplit="3" topLeftCell="A4" activePane="bottomLeft" state="frozen"/>
      <selection pane="bottomLeft" sqref="A1:K2"/>
    </sheetView>
  </sheetViews>
  <sheetFormatPr defaultColWidth="0" defaultRowHeight="12.75" zeroHeight="1" x14ac:dyDescent="0.2"/>
  <cols>
    <col min="1" max="1" width="5.85546875" customWidth="1"/>
    <col min="2" max="11" width="5.7109375" customWidth="1"/>
    <col min="12" max="12" width="6.140625" customWidth="1"/>
    <col min="13" max="33" width="5.85546875" customWidth="1"/>
    <col min="34" max="34" width="5" customWidth="1"/>
    <col min="35" max="37" width="9.140625" customWidth="1"/>
    <col min="38" max="38" width="0" hidden="1" customWidth="1"/>
    <col min="39" max="16384" width="9.140625" hidden="1"/>
  </cols>
  <sheetData>
    <row r="1" spans="1:34" s="29" customFormat="1" x14ac:dyDescent="0.2">
      <c r="A1" s="526" t="s">
        <v>388</v>
      </c>
      <c r="B1" s="526"/>
      <c r="C1" s="526"/>
      <c r="D1" s="526"/>
      <c r="E1" s="526"/>
      <c r="F1" s="526"/>
      <c r="G1" s="526"/>
      <c r="H1" s="526"/>
      <c r="I1" s="526"/>
      <c r="J1" s="526"/>
      <c r="K1" s="526"/>
      <c r="L1" s="20"/>
      <c r="M1" s="20"/>
      <c r="N1" s="20"/>
      <c r="O1" s="20"/>
      <c r="P1" s="20"/>
      <c r="Q1" s="20"/>
      <c r="R1" s="20"/>
      <c r="S1" s="20"/>
      <c r="T1" s="20"/>
      <c r="U1" s="20"/>
      <c r="V1" s="20"/>
      <c r="W1" s="20"/>
      <c r="X1" s="20"/>
      <c r="Y1" s="20"/>
      <c r="Z1" s="20"/>
      <c r="AA1" s="122" t="s">
        <v>397</v>
      </c>
      <c r="AB1" s="20"/>
      <c r="AC1" s="20"/>
      <c r="AD1" s="20"/>
      <c r="AE1" s="20"/>
      <c r="AF1" s="20"/>
      <c r="AG1" s="20"/>
      <c r="AH1" s="20"/>
    </row>
    <row r="2" spans="1:34" ht="15.75" customHeight="1" x14ac:dyDescent="0.2">
      <c r="A2" s="526"/>
      <c r="B2" s="526"/>
      <c r="C2" s="526"/>
      <c r="D2" s="526"/>
      <c r="E2" s="526"/>
      <c r="F2" s="526"/>
      <c r="G2" s="526"/>
      <c r="H2" s="526"/>
      <c r="I2" s="526"/>
      <c r="J2" s="526"/>
      <c r="K2" s="526"/>
      <c r="L2" s="22"/>
      <c r="M2" s="316" t="s">
        <v>646</v>
      </c>
      <c r="N2" s="22"/>
      <c r="O2" s="22"/>
      <c r="P2" s="22"/>
      <c r="Q2" s="22"/>
      <c r="R2" s="22"/>
      <c r="S2" s="22"/>
      <c r="T2" s="22"/>
      <c r="U2" s="22"/>
      <c r="V2" s="22"/>
      <c r="W2" s="22"/>
      <c r="X2" s="22"/>
      <c r="Y2" s="22"/>
      <c r="Z2" s="22"/>
      <c r="AA2" s="525" t="s">
        <v>396</v>
      </c>
      <c r="AB2" s="525"/>
      <c r="AC2" s="387" t="s">
        <v>327</v>
      </c>
      <c r="AD2" s="388" t="s">
        <v>333</v>
      </c>
      <c r="AE2" s="389"/>
      <c r="AF2" s="389"/>
      <c r="AG2" s="390"/>
      <c r="AH2" s="389"/>
    </row>
    <row r="3" spans="1:34" ht="3" customHeight="1" x14ac:dyDescent="0.7">
      <c r="A3" s="20"/>
      <c r="B3" s="21"/>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row>
    <row r="4" spans="1:34" ht="27" thickBot="1" x14ac:dyDescent="0.45">
      <c r="B4" s="78" t="s">
        <v>273</v>
      </c>
      <c r="C4" s="78"/>
      <c r="D4" s="78"/>
      <c r="E4" s="78"/>
      <c r="F4" s="78"/>
      <c r="G4" s="4"/>
      <c r="H4" s="4"/>
      <c r="I4" s="4"/>
      <c r="J4" s="4"/>
      <c r="K4" s="191"/>
      <c r="L4" s="78" t="s">
        <v>272</v>
      </c>
      <c r="M4" s="4"/>
      <c r="N4" s="4"/>
      <c r="O4" s="4"/>
      <c r="P4" s="4"/>
      <c r="Q4" s="4"/>
      <c r="R4" s="4"/>
      <c r="S4" s="4"/>
      <c r="T4" s="4"/>
      <c r="U4" s="4"/>
      <c r="V4" s="4"/>
      <c r="W4" s="4"/>
      <c r="X4" s="4"/>
      <c r="Y4" s="4"/>
      <c r="Z4" s="4"/>
      <c r="AA4" s="4"/>
      <c r="AB4" s="4"/>
      <c r="AC4" s="4"/>
      <c r="AD4" s="4"/>
      <c r="AE4" s="4"/>
      <c r="AF4" s="4"/>
      <c r="AG4" s="4"/>
    </row>
    <row r="5" spans="1:34" ht="13.5" thickBot="1" x14ac:dyDescent="0.25">
      <c r="H5" s="13"/>
      <c r="I5" s="13"/>
      <c r="J5" s="13"/>
      <c r="L5" s="184"/>
      <c r="M5" s="184"/>
      <c r="N5" s="184"/>
      <c r="O5" s="184"/>
      <c r="P5" s="184"/>
      <c r="Q5" s="184"/>
      <c r="R5" s="184"/>
      <c r="S5" s="540" t="s">
        <v>387</v>
      </c>
      <c r="T5" s="541"/>
      <c r="U5" s="542"/>
      <c r="V5" s="537">
        <f>'Intermediate Data'!E13</f>
        <v>2010</v>
      </c>
      <c r="W5" s="537"/>
      <c r="X5" s="537"/>
      <c r="Y5" s="537">
        <f>'Intermediate Data'!F13</f>
        <v>2013</v>
      </c>
      <c r="Z5" s="537"/>
      <c r="AA5" s="537"/>
      <c r="AB5" s="537">
        <f>'Intermediate Data'!G13</f>
        <v>2013</v>
      </c>
      <c r="AC5" s="537"/>
      <c r="AD5" s="537"/>
      <c r="AE5" s="537">
        <f>'Intermediate Data'!H13</f>
        <v>2015</v>
      </c>
      <c r="AF5" s="537"/>
      <c r="AG5" s="539"/>
      <c r="AH5" s="466" t="s">
        <v>8</v>
      </c>
    </row>
    <row r="6" spans="1:34" x14ac:dyDescent="0.2">
      <c r="H6" s="13"/>
      <c r="I6" s="13"/>
      <c r="J6" s="13"/>
      <c r="L6" s="184"/>
      <c r="M6" s="184"/>
      <c r="N6" s="184"/>
      <c r="O6" s="184"/>
      <c r="P6" s="184"/>
      <c r="Q6" s="184"/>
      <c r="R6" s="184"/>
      <c r="S6" s="530" t="s">
        <v>8</v>
      </c>
      <c r="T6" s="531"/>
      <c r="U6" s="532"/>
      <c r="V6" s="538" t="str">
        <f>'Intermediate Data'!E14</f>
        <v>National</v>
      </c>
      <c r="W6" s="538"/>
      <c r="X6" s="538"/>
      <c r="Y6" s="538" t="str">
        <f>'Intermediate Data'!F14</f>
        <v>Baseline Rpt -PG&amp;E</v>
      </c>
      <c r="Z6" s="538"/>
      <c r="AA6" s="538"/>
      <c r="AB6" s="538" t="str">
        <f>'Intermediate Data'!G14</f>
        <v>Baseline Rpt -PG&amp;E</v>
      </c>
      <c r="AC6" s="538"/>
      <c r="AD6" s="538"/>
      <c r="AE6" s="538" t="str">
        <f>'Intermediate Data'!H14</f>
        <v>National</v>
      </c>
      <c r="AF6" s="538"/>
      <c r="AG6" s="538"/>
    </row>
    <row r="7" spans="1:34" s="29" customFormat="1" ht="12.75" customHeight="1" x14ac:dyDescent="0.2">
      <c r="B7" s="535" t="s">
        <v>137</v>
      </c>
      <c r="C7" s="535"/>
      <c r="D7" s="535"/>
      <c r="E7" s="535"/>
      <c r="F7" s="535"/>
      <c r="G7" s="536" t="s">
        <v>116</v>
      </c>
      <c r="H7" s="536"/>
      <c r="I7" s="536"/>
      <c r="J7" s="536"/>
      <c r="L7" s="184"/>
      <c r="M7" s="184"/>
      <c r="N7" s="184"/>
      <c r="O7" s="184"/>
      <c r="P7" s="184"/>
      <c r="Q7" s="184"/>
      <c r="R7" s="184"/>
      <c r="S7" s="530"/>
      <c r="T7" s="531"/>
      <c r="U7" s="532"/>
      <c r="V7" s="527" t="str">
        <f>'Intermediate Data'!E15</f>
        <v>% National Shipments 
(by fuel type)</v>
      </c>
      <c r="W7" s="528"/>
      <c r="X7" s="529"/>
      <c r="Y7" s="527" t="str">
        <f>'Intermediate Data'!F15</f>
        <v>% of Retailer Model Assortment</v>
      </c>
      <c r="Z7" s="528"/>
      <c r="AA7" s="529"/>
      <c r="AB7" s="527" t="str">
        <f>'Intermediate Data'!G15</f>
        <v>Incremental Measure Cost</v>
      </c>
      <c r="AC7" s="528"/>
      <c r="AD7" s="529"/>
      <c r="AE7" s="527" t="str">
        <f>'Intermediate Data'!H15</f>
        <v>% Savings over Baseline</v>
      </c>
      <c r="AF7" s="528"/>
      <c r="AG7" s="529"/>
    </row>
    <row r="8" spans="1:34" ht="34.5" customHeight="1" x14ac:dyDescent="0.3">
      <c r="B8" s="535"/>
      <c r="C8" s="535"/>
      <c r="D8" s="535"/>
      <c r="E8" s="535"/>
      <c r="F8" s="535"/>
      <c r="G8" s="536"/>
      <c r="H8" s="536"/>
      <c r="I8" s="536"/>
      <c r="J8" s="536"/>
      <c r="K8" s="178"/>
      <c r="L8" s="185"/>
      <c r="M8" s="185"/>
      <c r="N8" s="185"/>
      <c r="O8" s="186"/>
      <c r="P8" s="186"/>
      <c r="Q8" s="186"/>
      <c r="R8" s="186"/>
      <c r="S8" s="543" t="str">
        <f ca="1">'Intermediate Data'!D15</f>
        <v>% of CA Homes with…</v>
      </c>
      <c r="T8" s="544"/>
      <c r="U8" s="544"/>
      <c r="V8" s="527"/>
      <c r="W8" s="528"/>
      <c r="X8" s="529"/>
      <c r="Y8" s="527"/>
      <c r="Z8" s="528"/>
      <c r="AA8" s="529"/>
      <c r="AB8" s="527"/>
      <c r="AC8" s="528"/>
      <c r="AD8" s="529"/>
      <c r="AE8" s="527"/>
      <c r="AF8" s="528"/>
      <c r="AG8" s="529"/>
      <c r="AH8" s="36"/>
    </row>
    <row r="9" spans="1:34" ht="15.75" x14ac:dyDescent="0.25">
      <c r="B9" s="65" t="str">
        <f>HYPERLINK("#"&amp;ADDRESS(7,'Intermediate Data'!O11,1,1,"Measure Data"),'Intermediate Data'!N11)</f>
        <v>Workpaper parameters</v>
      </c>
      <c r="C9" s="194"/>
      <c r="D9" s="194"/>
      <c r="E9" s="194"/>
      <c r="F9" s="194"/>
      <c r="G9" s="194" t="s">
        <v>386</v>
      </c>
      <c r="H9" s="194"/>
      <c r="I9" s="194"/>
      <c r="J9" s="194"/>
      <c r="K9" s="82"/>
      <c r="L9" s="187" t="str">
        <f>'Intermediate Data'!C16</f>
        <v>Electric Federal Baseline</v>
      </c>
      <c r="M9" s="184"/>
      <c r="N9" s="184"/>
      <c r="O9" s="184"/>
      <c r="P9" s="184"/>
      <c r="Q9" s="184"/>
      <c r="R9" s="184"/>
      <c r="S9" s="517">
        <f ca="1">'Intermediate Data'!D16</f>
        <v>7.1999999999999995E-2</v>
      </c>
      <c r="T9" s="517"/>
      <c r="U9" s="517"/>
      <c r="V9" s="517">
        <f>'Intermediate Data'!E16</f>
        <v>0.98417677903183032</v>
      </c>
      <c r="W9" s="517"/>
      <c r="X9" s="517"/>
      <c r="Y9" s="517">
        <f>'Intermediate Data'!F16</f>
        <v>0.23247232472324722</v>
      </c>
      <c r="Z9" s="517"/>
      <c r="AA9" s="517"/>
      <c r="AB9" s="519">
        <f>'Intermediate Data'!G16</f>
        <v>0</v>
      </c>
      <c r="AC9" s="519"/>
      <c r="AD9" s="519"/>
      <c r="AE9" s="517">
        <f>'Intermediate Data'!H16</f>
        <v>0</v>
      </c>
      <c r="AF9" s="517"/>
      <c r="AG9" s="517"/>
      <c r="AH9" s="82"/>
    </row>
    <row r="10" spans="1:34" ht="15.75" x14ac:dyDescent="0.25">
      <c r="A10" s="64"/>
      <c r="B10" s="386" t="str">
        <f>HYPERLINK("#"&amp;ADDRESS(7,'Intermediate Data'!O12,1,1,"Measure Data"),'Intermediate Data'!N12)</f>
        <v>Retail availability/assortment</v>
      </c>
      <c r="C10" s="195"/>
      <c r="D10" s="195"/>
      <c r="E10" s="195"/>
      <c r="F10" s="195"/>
      <c r="G10" s="195" t="s">
        <v>271</v>
      </c>
      <c r="H10" s="195"/>
      <c r="I10" s="195"/>
      <c r="J10" s="195"/>
      <c r="K10" s="175"/>
      <c r="L10" s="188" t="str">
        <f>'Intermediate Data'!C17</f>
        <v>Heat Pump</v>
      </c>
      <c r="M10" s="188"/>
      <c r="N10" s="188"/>
      <c r="O10" s="189"/>
      <c r="P10" s="189"/>
      <c r="Q10" s="189"/>
      <c r="R10" s="189"/>
      <c r="S10" s="518" t="str">
        <f ca="1">'Intermediate Data'!D17</f>
        <v xml:space="preserve"> </v>
      </c>
      <c r="T10" s="518"/>
      <c r="U10" s="518"/>
      <c r="V10" s="518">
        <f>'Intermediate Data'!E17</f>
        <v>1.58232209681697E-2</v>
      </c>
      <c r="W10" s="518"/>
      <c r="X10" s="518"/>
      <c r="Y10" s="518">
        <f>'Intermediate Data'!F17</f>
        <v>2.5830258302583026E-2</v>
      </c>
      <c r="Z10" s="518"/>
      <c r="AA10" s="518"/>
      <c r="AB10" s="516" t="str">
        <f>'Intermediate Data'!G17</f>
        <v xml:space="preserve"> </v>
      </c>
      <c r="AC10" s="516"/>
      <c r="AD10" s="516"/>
      <c r="AE10" s="518">
        <f>'Intermediate Data'!H17</f>
        <v>0.42576687116564416</v>
      </c>
      <c r="AF10" s="518"/>
      <c r="AG10" s="518"/>
      <c r="AH10" s="82"/>
    </row>
    <row r="11" spans="1:34" ht="15.75" x14ac:dyDescent="0.25">
      <c r="A11" s="64"/>
      <c r="B11" s="65" t="str">
        <f>HYPERLINK("#"&amp;ADDRESS(7,'Intermediate Data'!O13,1,1,"Measure Data"),'Intermediate Data'!N13)</f>
        <v>Household penetration</v>
      </c>
      <c r="C11" s="194"/>
      <c r="D11" s="194"/>
      <c r="E11" s="194"/>
      <c r="F11" s="194"/>
      <c r="G11" s="194" t="s">
        <v>386</v>
      </c>
      <c r="H11" s="194"/>
      <c r="I11" s="194"/>
      <c r="J11" s="194"/>
      <c r="K11" s="175"/>
      <c r="L11" s="190" t="str">
        <f>'Intermediate Data'!C18</f>
        <v>Point-of-Use</v>
      </c>
      <c r="M11" s="190"/>
      <c r="N11" s="190"/>
      <c r="O11" s="184"/>
      <c r="P11" s="184"/>
      <c r="Q11" s="184"/>
      <c r="R11" s="184"/>
      <c r="S11" s="517" t="str">
        <f ca="1">'Intermediate Data'!D18</f>
        <v xml:space="preserve"> </v>
      </c>
      <c r="T11" s="517"/>
      <c r="U11" s="517"/>
      <c r="V11" s="517" t="str">
        <f>'Intermediate Data'!E18</f>
        <v xml:space="preserve"> </v>
      </c>
      <c r="W11" s="517"/>
      <c r="X11" s="517"/>
      <c r="Y11" s="517">
        <f>'Intermediate Data'!F18</f>
        <v>0.29889298892988925</v>
      </c>
      <c r="Z11" s="517"/>
      <c r="AA11" s="517"/>
      <c r="AB11" s="519" t="str">
        <f>'Intermediate Data'!G18</f>
        <v xml:space="preserve"> </v>
      </c>
      <c r="AC11" s="519"/>
      <c r="AD11" s="519"/>
      <c r="AE11" s="517" t="str">
        <f>'Intermediate Data'!H18</f>
        <v xml:space="preserve"> </v>
      </c>
      <c r="AF11" s="517"/>
      <c r="AG11" s="517"/>
      <c r="AH11" s="82"/>
    </row>
    <row r="12" spans="1:34" ht="15.75" x14ac:dyDescent="0.25">
      <c r="A12" s="64"/>
      <c r="B12" s="386" t="str">
        <f>HYPERLINK("#"&amp;ADDRESS(7,'Intermediate Data'!O14,1,1,"Measure Data"),'Intermediate Data'!N14)</f>
        <v>Shipments</v>
      </c>
      <c r="C12" s="195"/>
      <c r="D12" s="195"/>
      <c r="E12" s="195"/>
      <c r="F12" s="195"/>
      <c r="G12" s="195" t="s">
        <v>68</v>
      </c>
      <c r="H12" s="195"/>
      <c r="I12" s="195"/>
      <c r="J12" s="195"/>
      <c r="K12" s="175"/>
      <c r="L12" s="188" t="str">
        <f>'Intermediate Data'!C19</f>
        <v>Electric Whole-home Tankless</v>
      </c>
      <c r="M12" s="188"/>
      <c r="N12" s="188"/>
      <c r="O12" s="189"/>
      <c r="P12" s="189"/>
      <c r="Q12" s="189"/>
      <c r="R12" s="189"/>
      <c r="S12" s="518">
        <f ca="1">'Intermediate Data'!D19</f>
        <v>2E-3</v>
      </c>
      <c r="T12" s="518"/>
      <c r="U12" s="518"/>
      <c r="V12" s="518" t="str">
        <f>'Intermediate Data'!E19</f>
        <v xml:space="preserve"> </v>
      </c>
      <c r="W12" s="518"/>
      <c r="X12" s="518"/>
      <c r="Y12" s="518">
        <f>'Intermediate Data'!F19</f>
        <v>0.14760147601476015</v>
      </c>
      <c r="Z12" s="518"/>
      <c r="AA12" s="518"/>
      <c r="AB12" s="516" t="str">
        <f>'Intermediate Data'!G19</f>
        <v xml:space="preserve"> </v>
      </c>
      <c r="AC12" s="516"/>
      <c r="AD12" s="516"/>
      <c r="AE12" s="518" t="str">
        <f>'Intermediate Data'!H19</f>
        <v xml:space="preserve"> </v>
      </c>
      <c r="AF12" s="518"/>
      <c r="AG12" s="518"/>
      <c r="AH12" s="82"/>
    </row>
    <row r="13" spans="1:34" ht="15.75" x14ac:dyDescent="0.25">
      <c r="A13" s="64"/>
      <c r="B13" s="65" t="str">
        <f>HYPERLINK("#"&amp;ADDRESS(7,'Intermediate Data'!O15,1,1,"Measure Data"),'Intermediate Data'!N15)</f>
        <v>Costs</v>
      </c>
      <c r="C13" s="194"/>
      <c r="D13" s="194"/>
      <c r="E13" s="194"/>
      <c r="F13" s="194"/>
      <c r="G13" s="194" t="s">
        <v>271</v>
      </c>
      <c r="H13" s="194"/>
      <c r="I13" s="194"/>
      <c r="J13" s="194"/>
      <c r="K13" s="175"/>
      <c r="L13" s="190" t="str">
        <f>'Intermediate Data'!C20</f>
        <v>Gas Federal Baseline</v>
      </c>
      <c r="M13" s="190"/>
      <c r="N13" s="190"/>
      <c r="O13" s="184"/>
      <c r="P13" s="184"/>
      <c r="Q13" s="184"/>
      <c r="R13" s="184"/>
      <c r="S13" s="517">
        <f ca="1">'Intermediate Data'!D20</f>
        <v>0.83899999999999997</v>
      </c>
      <c r="T13" s="517"/>
      <c r="U13" s="517"/>
      <c r="V13" s="517">
        <f>'Intermediate Data'!E20</f>
        <v>0.8022633416019882</v>
      </c>
      <c r="W13" s="517"/>
      <c r="X13" s="517"/>
      <c r="Y13" s="517">
        <f>'Intermediate Data'!F20</f>
        <v>0.20295202952029517</v>
      </c>
      <c r="Z13" s="517"/>
      <c r="AA13" s="517"/>
      <c r="AB13" s="519">
        <f>'Intermediate Data'!G20</f>
        <v>0</v>
      </c>
      <c r="AC13" s="519"/>
      <c r="AD13" s="519"/>
      <c r="AE13" s="517">
        <f>'Intermediate Data'!H20</f>
        <v>0</v>
      </c>
      <c r="AF13" s="517"/>
      <c r="AG13" s="517"/>
      <c r="AH13" s="82"/>
    </row>
    <row r="14" spans="1:34" ht="15.75" x14ac:dyDescent="0.25">
      <c r="A14" s="181"/>
      <c r="B14" s="386" t="str">
        <f>HYPERLINK("#"&amp;ADDRESS(7,'Intermediate Data'!O16,1,1,"Measure Data"),'Intermediate Data'!N16)</f>
        <v>Energy savings</v>
      </c>
      <c r="C14" s="195"/>
      <c r="D14" s="195"/>
      <c r="E14" s="195"/>
      <c r="F14" s="195"/>
      <c r="G14" s="195" t="s">
        <v>68</v>
      </c>
      <c r="H14" s="195"/>
      <c r="I14" s="195"/>
      <c r="J14" s="195"/>
      <c r="K14" s="175"/>
      <c r="L14" s="188" t="str">
        <f>'Intermediate Data'!C21</f>
        <v>Gas Storage ENERGY STAR</v>
      </c>
      <c r="M14" s="188"/>
      <c r="N14" s="188"/>
      <c r="O14" s="189"/>
      <c r="P14" s="189"/>
      <c r="Q14" s="189"/>
      <c r="R14" s="189"/>
      <c r="S14" s="518" t="str">
        <f ca="1">'Intermediate Data'!D21</f>
        <v xml:space="preserve"> </v>
      </c>
      <c r="T14" s="518"/>
      <c r="U14" s="518"/>
      <c r="V14" s="518">
        <f>'Intermediate Data'!E21</f>
        <v>0.10532228066640263</v>
      </c>
      <c r="W14" s="518"/>
      <c r="X14" s="518"/>
      <c r="Y14" s="518">
        <f>'Intermediate Data'!F21</f>
        <v>2.9520295202952025E-2</v>
      </c>
      <c r="Z14" s="518"/>
      <c r="AA14" s="518"/>
      <c r="AB14" s="516">
        <f>'Intermediate Data'!G21</f>
        <v>390</v>
      </c>
      <c r="AC14" s="516"/>
      <c r="AD14" s="516"/>
      <c r="AE14" s="518">
        <f>'Intermediate Data'!H21</f>
        <v>0.14012738853503184</v>
      </c>
      <c r="AF14" s="518"/>
      <c r="AG14" s="518"/>
      <c r="AH14" s="82"/>
    </row>
    <row r="15" spans="1:34" ht="15.75" x14ac:dyDescent="0.25">
      <c r="A15" s="82"/>
      <c r="B15" s="65" t="str">
        <f>HYPERLINK("#"&amp;ADDRESS(1,1,1,1,"Codes and Specs Data"),'Intermediate Data'!N17)</f>
        <v>Codes and specifications</v>
      </c>
      <c r="C15" s="198"/>
      <c r="D15" s="198"/>
      <c r="E15" s="198"/>
      <c r="F15" s="198"/>
      <c r="G15" s="198" t="s">
        <v>276</v>
      </c>
      <c r="H15" s="198"/>
      <c r="I15" s="198"/>
      <c r="J15" s="196"/>
      <c r="K15" s="176"/>
      <c r="L15" s="190" t="str">
        <f>'Intermediate Data'!C22</f>
        <v>Condensing Storage ENERGY STAR</v>
      </c>
      <c r="M15" s="190"/>
      <c r="N15" s="190"/>
      <c r="O15" s="184"/>
      <c r="P15" s="184"/>
      <c r="Q15" s="184"/>
      <c r="R15" s="184"/>
      <c r="S15" s="517" t="str">
        <f ca="1">'Intermediate Data'!D22</f>
        <v xml:space="preserve"> </v>
      </c>
      <c r="T15" s="517"/>
      <c r="U15" s="517"/>
      <c r="V15" s="517" t="str">
        <f>'Intermediate Data'!E22</f>
        <v xml:space="preserve"> </v>
      </c>
      <c r="W15" s="517"/>
      <c r="X15" s="517"/>
      <c r="Y15" s="517">
        <f>'Intermediate Data'!F22</f>
        <v>0</v>
      </c>
      <c r="Z15" s="517"/>
      <c r="AA15" s="517"/>
      <c r="AB15" s="519" t="str">
        <f>'Intermediate Data'!G22</f>
        <v xml:space="preserve"> </v>
      </c>
      <c r="AC15" s="519"/>
      <c r="AD15" s="519"/>
      <c r="AE15" s="517">
        <f>'Intermediate Data'!H22</f>
        <v>0.28025477707006369</v>
      </c>
      <c r="AF15" s="517"/>
      <c r="AG15" s="517"/>
      <c r="AH15" s="82"/>
    </row>
    <row r="16" spans="1:34" ht="15.75" x14ac:dyDescent="0.25">
      <c r="A16" s="82"/>
      <c r="B16" s="386" t="str">
        <f>HYPERLINK("#"&amp;ADDRESS(1,1,1,1,"Measure Descriptions"),'Intermediate Data'!N18)</f>
        <v>Measure descriptions</v>
      </c>
      <c r="C16" s="199"/>
      <c r="D16" s="199"/>
      <c r="E16" s="199"/>
      <c r="F16" s="199"/>
      <c r="G16" s="199" t="s">
        <v>68</v>
      </c>
      <c r="H16" s="199"/>
      <c r="I16" s="199"/>
      <c r="J16" s="197"/>
      <c r="K16" s="176"/>
      <c r="L16" s="188" t="str">
        <f>'Intermediate Data'!C23</f>
        <v>Condensing Tankless</v>
      </c>
      <c r="M16" s="188"/>
      <c r="N16" s="188"/>
      <c r="O16" s="189"/>
      <c r="P16" s="189"/>
      <c r="Q16" s="189"/>
      <c r="R16" s="189"/>
      <c r="S16" s="518" t="str">
        <f ca="1">'Intermediate Data'!D23</f>
        <v xml:space="preserve"> </v>
      </c>
      <c r="T16" s="518"/>
      <c r="U16" s="518"/>
      <c r="V16" s="518" t="str">
        <f>'Intermediate Data'!E23</f>
        <v xml:space="preserve"> </v>
      </c>
      <c r="W16" s="518"/>
      <c r="X16" s="518"/>
      <c r="Y16" s="518">
        <f>'Intermediate Data'!F23</f>
        <v>0</v>
      </c>
      <c r="Z16" s="518"/>
      <c r="AA16" s="518"/>
      <c r="AB16" s="516" t="str">
        <f>'Intermediate Data'!G23</f>
        <v xml:space="preserve"> </v>
      </c>
      <c r="AC16" s="516"/>
      <c r="AD16" s="516"/>
      <c r="AE16" s="518">
        <f>'Intermediate Data'!H23</f>
        <v>0.31847133757961782</v>
      </c>
      <c r="AF16" s="518"/>
      <c r="AG16" s="518"/>
      <c r="AH16" s="82"/>
    </row>
    <row r="17" spans="1:34" ht="15.75" x14ac:dyDescent="0.25">
      <c r="A17" s="82"/>
      <c r="K17" s="176"/>
      <c r="L17" s="190" t="str">
        <f>'Intermediate Data'!C24</f>
        <v>Gas Whole-home Tankless</v>
      </c>
      <c r="M17" s="190"/>
      <c r="N17" s="190"/>
      <c r="O17" s="184"/>
      <c r="P17" s="184"/>
      <c r="Q17" s="184"/>
      <c r="R17" s="184"/>
      <c r="S17" s="517">
        <f ca="1">'Intermediate Data'!D24</f>
        <v>4.2999999999999997E-2</v>
      </c>
      <c r="T17" s="517"/>
      <c r="U17" s="517"/>
      <c r="V17" s="517">
        <f>'Intermediate Data'!E24</f>
        <v>3.4682027372258547E-3</v>
      </c>
      <c r="W17" s="517"/>
      <c r="X17" s="517"/>
      <c r="Y17" s="517">
        <f>'Intermediate Data'!F24</f>
        <v>0</v>
      </c>
      <c r="Z17" s="517"/>
      <c r="AA17" s="517"/>
      <c r="AB17" s="519">
        <f>'Intermediate Data'!G24</f>
        <v>1262</v>
      </c>
      <c r="AC17" s="519"/>
      <c r="AD17" s="519"/>
      <c r="AE17" s="517">
        <f>'Intermediate Data'!H24</f>
        <v>0.29936305732484075</v>
      </c>
      <c r="AF17" s="517"/>
      <c r="AG17" s="517"/>
      <c r="AH17" s="82"/>
    </row>
    <row r="18" spans="1:34" ht="15.75" x14ac:dyDescent="0.25">
      <c r="A18" s="182"/>
      <c r="B18" s="82"/>
      <c r="C18" s="82"/>
      <c r="K18" s="176"/>
      <c r="L18" s="188" t="str">
        <f>'Intermediate Data'!C25</f>
        <v>Gas Whole-home Tankless ENERGY STAR</v>
      </c>
      <c r="M18" s="188"/>
      <c r="N18" s="188"/>
      <c r="O18" s="189"/>
      <c r="P18" s="189"/>
      <c r="Q18" s="189"/>
      <c r="R18" s="189"/>
      <c r="S18" s="518" t="str">
        <f ca="1">'Intermediate Data'!D25</f>
        <v xml:space="preserve"> </v>
      </c>
      <c r="T18" s="518"/>
      <c r="U18" s="518"/>
      <c r="V18" s="518">
        <f>'Intermediate Data'!E25</f>
        <v>8.8946174994383342E-2</v>
      </c>
      <c r="W18" s="518"/>
      <c r="X18" s="518"/>
      <c r="Y18" s="518">
        <f>'Intermediate Data'!F25</f>
        <v>6.273062730627306E-2</v>
      </c>
      <c r="Z18" s="518"/>
      <c r="AA18" s="518"/>
      <c r="AB18" s="516" t="str">
        <f>'Intermediate Data'!G25</f>
        <v xml:space="preserve"> </v>
      </c>
      <c r="AC18" s="516"/>
      <c r="AD18" s="516"/>
      <c r="AE18" s="518">
        <f>'Intermediate Data'!H25</f>
        <v>0.37579617834394907</v>
      </c>
      <c r="AF18" s="518"/>
      <c r="AG18" s="518"/>
      <c r="AH18" s="82"/>
    </row>
    <row r="19" spans="1:34" ht="15.75" x14ac:dyDescent="0.25">
      <c r="A19" s="182"/>
      <c r="K19" s="176"/>
      <c r="L19" s="190" t="str">
        <f>'Intermediate Data'!C26</f>
        <v>Gas Hybrid</v>
      </c>
      <c r="M19" s="190"/>
      <c r="N19" s="190"/>
      <c r="O19" s="184"/>
      <c r="P19" s="184"/>
      <c r="Q19" s="184"/>
      <c r="R19" s="184"/>
      <c r="S19" s="517" t="str">
        <f ca="1">'Intermediate Data'!D26</f>
        <v xml:space="preserve"> </v>
      </c>
      <c r="T19" s="517"/>
      <c r="U19" s="517"/>
      <c r="V19" s="517" t="str">
        <f>'Intermediate Data'!E26</f>
        <v xml:space="preserve"> </v>
      </c>
      <c r="W19" s="517"/>
      <c r="X19" s="517"/>
      <c r="Y19" s="517">
        <f>'Intermediate Data'!F26</f>
        <v>0</v>
      </c>
      <c r="Z19" s="517"/>
      <c r="AA19" s="517"/>
      <c r="AB19" s="519" t="str">
        <f>'Intermediate Data'!G26</f>
        <v xml:space="preserve"> </v>
      </c>
      <c r="AC19" s="519"/>
      <c r="AD19" s="519"/>
      <c r="AE19" s="517" t="str">
        <f>'Intermediate Data'!H26</f>
        <v xml:space="preserve"> </v>
      </c>
      <c r="AF19" s="517"/>
      <c r="AG19" s="517"/>
      <c r="AH19" s="82"/>
    </row>
    <row r="20" spans="1:34" ht="15.75" x14ac:dyDescent="0.25">
      <c r="A20" s="182"/>
      <c r="K20" s="176"/>
      <c r="L20" s="188" t="str">
        <f>'Intermediate Data'!C27</f>
        <v>Solar</v>
      </c>
      <c r="M20" s="188"/>
      <c r="N20" s="188"/>
      <c r="O20" s="189"/>
      <c r="P20" s="189"/>
      <c r="Q20" s="189"/>
      <c r="R20" s="189"/>
      <c r="S20" s="518">
        <f ca="1">'Intermediate Data'!D27</f>
        <v>3.0000000000000001E-3</v>
      </c>
      <c r="T20" s="518"/>
      <c r="U20" s="518"/>
      <c r="V20" s="518">
        <f>'Intermediate Data'!E27</f>
        <v>4.137460836501055E-3</v>
      </c>
      <c r="W20" s="518"/>
      <c r="X20" s="518"/>
      <c r="Y20" s="518">
        <f>'Intermediate Data'!F27</f>
        <v>0</v>
      </c>
      <c r="Z20" s="518"/>
      <c r="AA20" s="518"/>
      <c r="AB20" s="516" t="str">
        <f>'Intermediate Data'!G27</f>
        <v xml:space="preserve"> </v>
      </c>
      <c r="AC20" s="516"/>
      <c r="AD20" s="516"/>
      <c r="AE20" s="518">
        <f>'Intermediate Data'!H27</f>
        <v>0.5</v>
      </c>
      <c r="AF20" s="518"/>
      <c r="AG20" s="518"/>
      <c r="AH20" s="82"/>
    </row>
    <row r="21" spans="1:34" ht="15.75" x14ac:dyDescent="0.25">
      <c r="A21" s="176"/>
      <c r="B21" s="84"/>
      <c r="C21" s="84"/>
      <c r="D21" s="84"/>
      <c r="E21" s="84"/>
      <c r="F21" s="84"/>
      <c r="G21" s="84"/>
      <c r="H21" s="84"/>
      <c r="I21" s="84"/>
      <c r="J21" s="84"/>
      <c r="K21" s="84"/>
      <c r="L21" s="84"/>
      <c r="M21" s="84"/>
      <c r="N21" s="84"/>
      <c r="O21" s="84"/>
      <c r="P21" s="84"/>
      <c r="Q21" s="84"/>
      <c r="R21" s="84"/>
      <c r="S21" s="82"/>
      <c r="T21" s="82"/>
      <c r="U21" s="309" t="str">
        <f ca="1">HYPERLINK("#"&amp;ADDRESS(6,'Intermediate Data'!$D$12,1,1,"Measure Data"),"Data")</f>
        <v>Data</v>
      </c>
      <c r="V21" s="310"/>
      <c r="W21" s="310"/>
      <c r="X21" s="309" t="str">
        <f>HYPERLINK("#"&amp;ADDRESS(6,'Intermediate Data'!$E$12,1,1,"Measure Data"),"Data")</f>
        <v>Data</v>
      </c>
      <c r="Y21" s="310"/>
      <c r="Z21" s="311"/>
      <c r="AA21" s="309" t="str">
        <f>HYPERLINK("#"&amp;ADDRESS(6,'Intermediate Data'!$F$12,1,1,"Measure Data"),"Data")</f>
        <v>Data</v>
      </c>
      <c r="AB21" s="310"/>
      <c r="AC21" s="312"/>
      <c r="AD21" s="309" t="str">
        <f>HYPERLINK("#"&amp;ADDRESS(6,'Intermediate Data'!$G$12,1,1,"Measure Data"),"Data")</f>
        <v>Data</v>
      </c>
      <c r="AE21" s="311"/>
      <c r="AF21" s="310"/>
      <c r="AG21" s="309" t="str">
        <f>HYPERLINK("#"&amp;ADDRESS(6,'Intermediate Data'!$H$12,1,1,"Measure Data"),"Data")</f>
        <v>Data</v>
      </c>
      <c r="AH21" s="82"/>
    </row>
    <row r="22" spans="1:34" ht="15.75" x14ac:dyDescent="0.25">
      <c r="A22" s="176"/>
      <c r="B22" s="84"/>
      <c r="C22" s="84"/>
      <c r="D22" s="84"/>
      <c r="E22" s="84"/>
      <c r="F22" s="84"/>
      <c r="G22" s="84"/>
      <c r="H22" s="84"/>
      <c r="I22" s="84"/>
      <c r="J22" s="84"/>
      <c r="K22" s="84"/>
      <c r="L22" s="84"/>
      <c r="M22" s="84"/>
      <c r="N22" s="84"/>
      <c r="O22" s="84"/>
      <c r="P22" s="84"/>
      <c r="Q22" s="84"/>
      <c r="R22" s="84"/>
      <c r="S22" s="84"/>
      <c r="T22" s="84"/>
      <c r="U22" s="84"/>
      <c r="V22" s="84"/>
      <c r="W22" s="84"/>
      <c r="X22" s="179"/>
      <c r="Y22" s="84"/>
      <c r="Z22" s="84"/>
      <c r="AA22" s="180"/>
      <c r="AB22" s="179"/>
      <c r="AC22" s="179"/>
      <c r="AD22" s="84"/>
      <c r="AE22" s="84"/>
      <c r="AF22" s="180"/>
      <c r="AG22" s="84"/>
      <c r="AH22" s="82"/>
    </row>
    <row r="23" spans="1:34" ht="23.25" x14ac:dyDescent="0.35">
      <c r="A23" s="176"/>
      <c r="B23" s="78" t="s">
        <v>284</v>
      </c>
      <c r="C23" s="4"/>
      <c r="D23" s="4"/>
      <c r="E23" s="4"/>
      <c r="F23" s="4"/>
      <c r="G23" s="4"/>
      <c r="H23" s="4"/>
      <c r="I23" s="4"/>
      <c r="J23" s="4"/>
      <c r="K23" s="4"/>
      <c r="L23" s="4"/>
      <c r="M23" s="4"/>
      <c r="N23" s="214"/>
      <c r="O23" s="214"/>
      <c r="P23" s="82"/>
      <c r="Q23" s="78" t="s">
        <v>274</v>
      </c>
      <c r="R23" s="4"/>
      <c r="S23" s="4"/>
      <c r="T23" s="4"/>
      <c r="U23" s="4"/>
      <c r="V23" s="4"/>
      <c r="W23" s="4"/>
      <c r="X23" s="4"/>
      <c r="Y23" s="4"/>
      <c r="Z23" s="4"/>
      <c r="AA23" s="4"/>
      <c r="AB23" s="4"/>
      <c r="AC23" s="4"/>
      <c r="AD23" s="4"/>
      <c r="AE23" s="4"/>
      <c r="AF23" s="4"/>
      <c r="AG23" s="215"/>
      <c r="AH23" s="82"/>
    </row>
    <row r="24" spans="1:34" s="372" customFormat="1" ht="15.75" x14ac:dyDescent="0.25">
      <c r="A24" s="371"/>
      <c r="B24" s="384"/>
      <c r="C24" s="384"/>
      <c r="D24" s="533" t="s">
        <v>385</v>
      </c>
      <c r="E24" s="533"/>
      <c r="F24" s="213"/>
      <c r="G24" s="510" t="str">
        <f>'Intermediate Data'!C36</f>
        <v>Base Case EF</v>
      </c>
      <c r="H24" s="511"/>
      <c r="I24" s="511"/>
      <c r="J24" s="512"/>
      <c r="K24" s="523" t="str">
        <f>'Intermediate Data'!K36</f>
        <v>Effective Useful Life</v>
      </c>
      <c r="L24" s="523"/>
      <c r="M24" s="523"/>
      <c r="N24" s="523"/>
      <c r="O24" s="373"/>
      <c r="P24" s="374"/>
      <c r="Q24" s="382"/>
      <c r="R24" s="382"/>
      <c r="S24" s="382"/>
      <c r="T24" s="382"/>
      <c r="U24" s="382"/>
      <c r="V24" s="382"/>
      <c r="W24" s="382"/>
      <c r="X24" s="382"/>
      <c r="Y24" s="383"/>
      <c r="Z24" s="374"/>
      <c r="AA24" s="374"/>
      <c r="AB24" s="374"/>
      <c r="AC24" s="374"/>
      <c r="AD24" s="374"/>
      <c r="AE24" s="374"/>
      <c r="AF24" s="374"/>
      <c r="AG24" s="374"/>
      <c r="AH24" s="373"/>
    </row>
    <row r="25" spans="1:34" s="372" customFormat="1" ht="15.75" x14ac:dyDescent="0.25">
      <c r="A25" s="371"/>
      <c r="B25" s="380"/>
      <c r="C25" s="380"/>
      <c r="D25" s="534"/>
      <c r="E25" s="534"/>
      <c r="F25" s="82"/>
      <c r="G25" s="513" t="str">
        <f>'Intermediate Data'!C38</f>
        <v>Workpaper</v>
      </c>
      <c r="H25" s="514"/>
      <c r="I25" s="514" t="str">
        <f>'Intermediate Data'!D38</f>
        <v>National Baseline</v>
      </c>
      <c r="J25" s="515"/>
      <c r="K25" s="513" t="str">
        <f>'Intermediate Data'!K38</f>
        <v>Workpaper</v>
      </c>
      <c r="L25" s="514"/>
      <c r="M25" s="524" t="str">
        <f>'Intermediate Data'!L38</f>
        <v>National</v>
      </c>
      <c r="N25" s="524"/>
      <c r="P25" s="374"/>
      <c r="Q25" s="382"/>
      <c r="R25" s="382"/>
      <c r="S25" s="382"/>
      <c r="T25" s="382"/>
      <c r="U25" s="382"/>
      <c r="V25" s="382"/>
      <c r="W25" s="382"/>
      <c r="X25" s="382"/>
      <c r="Y25" s="383"/>
      <c r="Z25" s="374"/>
      <c r="AA25" s="374"/>
      <c r="AB25" s="374"/>
      <c r="AC25" s="374"/>
      <c r="AD25" s="374"/>
      <c r="AE25" s="374"/>
      <c r="AF25" s="374"/>
      <c r="AG25" s="375" t="s">
        <v>327</v>
      </c>
    </row>
    <row r="26" spans="1:34" ht="15.75" x14ac:dyDescent="0.25">
      <c r="A26" s="177"/>
      <c r="B26" s="385"/>
      <c r="C26" s="183"/>
      <c r="D26" s="183"/>
      <c r="E26" s="84"/>
      <c r="F26" s="82"/>
      <c r="G26" s="513"/>
      <c r="H26" s="514"/>
      <c r="I26" s="514"/>
      <c r="J26" s="515"/>
      <c r="K26" s="520" t="s">
        <v>168</v>
      </c>
      <c r="L26" s="521"/>
      <c r="M26" s="521"/>
      <c r="N26" s="521"/>
      <c r="O26" s="82"/>
      <c r="P26" s="13"/>
      <c r="Q26" s="77"/>
      <c r="R26" s="77"/>
      <c r="S26" s="77"/>
      <c r="T26" s="77"/>
      <c r="U26" s="77"/>
      <c r="V26" s="77"/>
      <c r="W26" s="77"/>
      <c r="X26" s="77"/>
      <c r="Y26" s="24"/>
      <c r="Z26" s="24"/>
      <c r="AA26" s="24"/>
      <c r="AB26" s="24"/>
      <c r="AC26" s="24"/>
      <c r="AD26" s="24"/>
      <c r="AE26" s="24"/>
      <c r="AF26" s="24"/>
      <c r="AG26" s="24"/>
      <c r="AH26" s="82"/>
    </row>
    <row r="27" spans="1:34" x14ac:dyDescent="0.2">
      <c r="A27" s="29"/>
      <c r="B27" s="200" t="str">
        <f ca="1">'Intermediate Data'!B40</f>
        <v>Heat Pump</v>
      </c>
      <c r="C27" s="207"/>
      <c r="D27" s="207"/>
      <c r="E27" s="207"/>
      <c r="F27" s="184"/>
      <c r="G27" s="504">
        <f ca="1">'Intermediate Data'!C40</f>
        <v>0.88</v>
      </c>
      <c r="H27" s="505"/>
      <c r="I27" s="506">
        <f ca="1">'Intermediate Data'!D40</f>
        <v>0.9</v>
      </c>
      <c r="J27" s="507"/>
      <c r="K27" s="494">
        <f ca="1">'Intermediate Data'!K40</f>
        <v>10</v>
      </c>
      <c r="L27" s="494"/>
      <c r="M27" s="494">
        <f ca="1">'Intermediate Data'!L40</f>
        <v>10</v>
      </c>
      <c r="N27" s="494"/>
      <c r="O27" s="29"/>
      <c r="P27" s="13"/>
      <c r="Q27" s="25"/>
      <c r="R27" s="25"/>
      <c r="S27" s="25"/>
      <c r="T27" s="25"/>
      <c r="U27" s="25"/>
      <c r="V27" s="77"/>
      <c r="W27" s="77"/>
      <c r="X27" s="77"/>
      <c r="Y27" s="24"/>
      <c r="Z27" s="24"/>
      <c r="AA27" s="24"/>
      <c r="AB27" s="24"/>
      <c r="AC27" s="24"/>
      <c r="AD27" s="24"/>
      <c r="AE27" s="24"/>
      <c r="AF27" s="24"/>
      <c r="AG27" s="24"/>
    </row>
    <row r="28" spans="1:34" x14ac:dyDescent="0.2">
      <c r="B28" s="201" t="str">
        <f ca="1">'Intermediate Data'!B41</f>
        <v>Gas Storage ENERGY STAR</v>
      </c>
      <c r="C28" s="189"/>
      <c r="D28" s="189"/>
      <c r="E28" s="189"/>
      <c r="F28" s="189"/>
      <c r="G28" s="502">
        <f ca="1">'Intermediate Data'!C41</f>
        <v>0.56999999999999995</v>
      </c>
      <c r="H28" s="503"/>
      <c r="I28" s="503">
        <f ca="1">'Intermediate Data'!D41</f>
        <v>0.59</v>
      </c>
      <c r="J28" s="508"/>
      <c r="K28" s="495">
        <f ca="1">'Intermediate Data'!K41</f>
        <v>11</v>
      </c>
      <c r="L28" s="495"/>
      <c r="M28" s="495">
        <f ca="1">'Intermediate Data'!L41</f>
        <v>13</v>
      </c>
      <c r="N28" s="495"/>
      <c r="P28" s="13"/>
      <c r="Q28" s="25"/>
      <c r="R28" s="25"/>
      <c r="S28" s="25"/>
      <c r="T28" s="25"/>
      <c r="U28" s="25"/>
      <c r="V28" s="77"/>
      <c r="W28" s="77"/>
      <c r="X28" s="77"/>
      <c r="Y28" s="24"/>
      <c r="Z28" s="24"/>
      <c r="AA28" s="24"/>
      <c r="AB28" s="24"/>
      <c r="AC28" s="24"/>
      <c r="AD28" s="24"/>
      <c r="AE28" s="24"/>
      <c r="AF28" s="24"/>
      <c r="AG28" s="24"/>
    </row>
    <row r="29" spans="1:34" x14ac:dyDescent="0.2">
      <c r="A29" s="29"/>
      <c r="B29" s="200" t="str">
        <f ca="1">'Intermediate Data'!B42</f>
        <v>Condensing Tankless</v>
      </c>
      <c r="C29" s="184"/>
      <c r="D29" s="184"/>
      <c r="E29" s="184"/>
      <c r="F29" s="184"/>
      <c r="G29" s="504">
        <f ca="1">'Intermediate Data'!C42</f>
        <v>0.61</v>
      </c>
      <c r="H29" s="505"/>
      <c r="I29" s="505">
        <f ca="1">'Intermediate Data'!D42</f>
        <v>0.59</v>
      </c>
      <c r="J29" s="509"/>
      <c r="K29" s="494">
        <f ca="1">'Intermediate Data'!K42</f>
        <v>20</v>
      </c>
      <c r="L29" s="494"/>
      <c r="M29" s="494">
        <f ca="1">'Intermediate Data'!L42</f>
        <v>20</v>
      </c>
      <c r="N29" s="494"/>
      <c r="O29" s="29"/>
      <c r="P29" s="13"/>
      <c r="Q29" s="25"/>
      <c r="R29" s="25"/>
      <c r="S29" s="25"/>
      <c r="T29" s="25"/>
      <c r="U29" s="25"/>
      <c r="V29" s="77"/>
      <c r="W29" s="77"/>
      <c r="X29" s="77"/>
      <c r="Y29" s="24"/>
      <c r="Z29" s="24"/>
      <c r="AA29" s="24"/>
      <c r="AB29" s="24"/>
      <c r="AC29" s="24"/>
      <c r="AD29" s="24"/>
      <c r="AE29" s="24"/>
      <c r="AF29" s="24"/>
      <c r="AG29" s="24"/>
      <c r="AH29" s="29"/>
    </row>
    <row r="30" spans="1:34" ht="14.25" x14ac:dyDescent="0.2">
      <c r="H30" s="314" t="str">
        <f ca="1">HYPERLINK("#"&amp;ADDRESS(6,'Intermediate Data'!$C$37,1,1,"Measure Data"),"Data")</f>
        <v>Data</v>
      </c>
      <c r="I30" s="315"/>
      <c r="J30" s="314" t="str">
        <f>HYPERLINK("#"&amp;ADDRESS(1,1,1,1,"Codes and Specs Data"),"Data")</f>
        <v>Data</v>
      </c>
      <c r="K30" s="315"/>
      <c r="L30" s="314" t="str">
        <f ca="1">HYPERLINK("#"&amp;ADDRESS(6,'Intermediate Data'!$K$37,1,1,"Measure Data"),"Data")</f>
        <v>Data</v>
      </c>
      <c r="M30" s="315"/>
      <c r="N30" s="314" t="str">
        <f>HYPERLINK("#"&amp;ADDRESS(6,'Intermediate Data'!$L$37,1,1,"Measure Data"),"Data")</f>
        <v>Data</v>
      </c>
      <c r="P30" s="13"/>
      <c r="Q30" s="25"/>
      <c r="R30" s="25"/>
      <c r="S30" s="25"/>
      <c r="T30" s="25"/>
      <c r="U30" s="25"/>
      <c r="V30" s="77"/>
      <c r="W30" s="77"/>
      <c r="X30" s="77"/>
      <c r="Y30" s="24"/>
      <c r="Z30" s="24"/>
      <c r="AA30" s="24"/>
      <c r="AB30" s="24"/>
      <c r="AC30" s="24"/>
      <c r="AD30" s="24"/>
      <c r="AE30" s="24"/>
      <c r="AF30" s="24"/>
      <c r="AG30" s="24"/>
    </row>
    <row r="31" spans="1:34" ht="31.5" customHeight="1" x14ac:dyDescent="0.25">
      <c r="G31" s="510" t="str">
        <f>'Intermediate Data'!E36</f>
        <v>Incremental Measure Cost</v>
      </c>
      <c r="H31" s="511"/>
      <c r="I31" s="511"/>
      <c r="J31" s="512"/>
      <c r="K31" s="510" t="str">
        <f>'Intermediate Data'!G36</f>
        <v>Unit Energy Savings (2015 Code)</v>
      </c>
      <c r="L31" s="511"/>
      <c r="M31" s="511"/>
      <c r="N31" s="512"/>
      <c r="O31" s="3"/>
      <c r="P31" s="13"/>
      <c r="Q31" s="25"/>
      <c r="R31" s="25"/>
      <c r="S31" s="25"/>
      <c r="T31" s="25"/>
      <c r="U31" s="25"/>
      <c r="V31" s="77"/>
      <c r="W31" s="77"/>
      <c r="X31" s="77"/>
      <c r="Y31" s="24"/>
      <c r="Z31" s="24"/>
      <c r="AA31" s="24"/>
      <c r="AB31" s="24"/>
      <c r="AC31" s="24"/>
      <c r="AD31" s="24"/>
      <c r="AE31" s="24"/>
      <c r="AF31" s="24"/>
      <c r="AG31" s="24"/>
    </row>
    <row r="32" spans="1:34" x14ac:dyDescent="0.2">
      <c r="G32" s="513" t="str">
        <f>'Intermediate Data'!E38</f>
        <v>Workpaper</v>
      </c>
      <c r="H32" s="514"/>
      <c r="I32" s="514" t="str">
        <f>'Intermediate Data'!F38</f>
        <v>Baseline Rpt -PG&amp;E</v>
      </c>
      <c r="J32" s="515"/>
      <c r="K32" s="513" t="s">
        <v>628</v>
      </c>
      <c r="L32" s="514"/>
      <c r="M32" s="514" t="str">
        <f>'Intermediate Data'!I38</f>
        <v>National</v>
      </c>
      <c r="N32" s="515"/>
      <c r="O32" s="13"/>
      <c r="P32" s="13"/>
      <c r="Q32" s="25"/>
      <c r="R32" s="25"/>
      <c r="S32" s="25"/>
      <c r="T32" s="25"/>
      <c r="U32" s="25"/>
      <c r="V32" s="77"/>
      <c r="W32" s="77"/>
      <c r="X32" s="77"/>
      <c r="Y32" s="24"/>
      <c r="Z32" s="24"/>
      <c r="AA32" s="24"/>
      <c r="AB32" s="24"/>
      <c r="AC32" s="24"/>
      <c r="AD32" s="24"/>
      <c r="AE32" s="24"/>
      <c r="AF32" s="24"/>
      <c r="AG32" s="24"/>
    </row>
    <row r="33" spans="1:34" ht="15.75" customHeight="1" x14ac:dyDescent="0.2">
      <c r="G33" s="513"/>
      <c r="H33" s="514"/>
      <c r="I33" s="514"/>
      <c r="J33" s="515"/>
      <c r="K33" s="202" t="s">
        <v>280</v>
      </c>
      <c r="L33" s="203" t="s">
        <v>281</v>
      </c>
      <c r="M33" s="204" t="s">
        <v>280</v>
      </c>
      <c r="N33" s="205" t="s">
        <v>281</v>
      </c>
      <c r="O33" s="13"/>
      <c r="P33" s="13"/>
      <c r="Q33" s="26"/>
      <c r="R33" s="26"/>
      <c r="S33" s="26"/>
      <c r="T33" s="26"/>
      <c r="U33" s="26"/>
      <c r="V33" s="26"/>
      <c r="W33" s="26"/>
      <c r="X33" s="26"/>
      <c r="Y33" s="24"/>
      <c r="Z33" s="24"/>
      <c r="AA33" s="24"/>
      <c r="AB33" s="24"/>
      <c r="AC33" s="24"/>
      <c r="AD33" s="24"/>
      <c r="AE33" s="24"/>
      <c r="AF33" s="24"/>
      <c r="AG33" s="24"/>
    </row>
    <row r="34" spans="1:34" x14ac:dyDescent="0.2">
      <c r="B34" s="200" t="str">
        <f ca="1">'Intermediate Data'!B40</f>
        <v>Heat Pump</v>
      </c>
      <c r="C34" s="207"/>
      <c r="D34" s="207"/>
      <c r="E34" s="207"/>
      <c r="F34" s="184"/>
      <c r="G34" s="496">
        <f ca="1">'Intermediate Data'!E40</f>
        <v>1266.69</v>
      </c>
      <c r="H34" s="497"/>
      <c r="I34" s="497" t="str">
        <f ca="1">'Intermediate Data'!F40</f>
        <v xml:space="preserve"> </v>
      </c>
      <c r="J34" s="500"/>
      <c r="K34" s="451">
        <f ca="1">'Intermediate Data'!G40</f>
        <v>686.4</v>
      </c>
      <c r="L34" s="212">
        <f ca="1">'Intermediate Data'!H40</f>
        <v>0</v>
      </c>
      <c r="M34" s="186">
        <f ca="1">'Intermediate Data'!I40</f>
        <v>1041</v>
      </c>
      <c r="N34" s="208">
        <f ca="1">'Intermediate Data'!J40</f>
        <v>0</v>
      </c>
      <c r="O34" s="13"/>
      <c r="P34" s="13"/>
      <c r="Q34" s="26"/>
      <c r="R34" s="26"/>
      <c r="S34" s="26"/>
      <c r="T34" s="26"/>
      <c r="U34" s="26"/>
      <c r="V34" s="26"/>
      <c r="W34" s="26"/>
      <c r="X34" s="26"/>
      <c r="Y34" s="24"/>
      <c r="Z34" s="24"/>
      <c r="AA34" s="24"/>
      <c r="AB34" s="24"/>
      <c r="AC34" s="24"/>
      <c r="AD34" s="24"/>
      <c r="AE34" s="24"/>
      <c r="AF34" s="24"/>
      <c r="AG34" s="24"/>
      <c r="AH34" s="13"/>
    </row>
    <row r="35" spans="1:34" ht="14.25" customHeight="1" x14ac:dyDescent="0.2">
      <c r="B35" s="201" t="str">
        <f ca="1">'Intermediate Data'!B41</f>
        <v>Gas Storage ENERGY STAR</v>
      </c>
      <c r="C35" s="189"/>
      <c r="D35" s="189"/>
      <c r="E35" s="189"/>
      <c r="F35" s="189"/>
      <c r="G35" s="498">
        <f ca="1">'Intermediate Data'!E41</f>
        <v>124.14</v>
      </c>
      <c r="H35" s="499"/>
      <c r="I35" s="499">
        <f ca="1">'Intermediate Data'!F41</f>
        <v>390</v>
      </c>
      <c r="J35" s="501"/>
      <c r="K35" s="452">
        <f ca="1">'Intermediate Data'!G41</f>
        <v>0</v>
      </c>
      <c r="L35" s="209">
        <f ca="1">'Intermediate Data'!H41</f>
        <v>25.17</v>
      </c>
      <c r="M35" s="210">
        <f ca="1">'Intermediate Data'!I41</f>
        <v>-66</v>
      </c>
      <c r="N35" s="211">
        <f ca="1">'Intermediate Data'!J41</f>
        <v>22</v>
      </c>
      <c r="O35" s="13"/>
      <c r="P35" s="13"/>
      <c r="Q35" s="26"/>
      <c r="R35" s="26"/>
      <c r="S35" s="26"/>
      <c r="T35" s="26"/>
      <c r="U35" s="26"/>
      <c r="V35" s="26"/>
      <c r="W35" s="26"/>
      <c r="X35" s="26"/>
      <c r="Y35" s="24"/>
      <c r="Z35" s="24"/>
      <c r="AA35" s="24"/>
      <c r="AB35" s="24"/>
      <c r="AC35" s="24"/>
      <c r="AD35" s="24"/>
      <c r="AE35" s="24"/>
      <c r="AF35" s="24"/>
      <c r="AG35" s="24"/>
      <c r="AH35" s="13"/>
    </row>
    <row r="36" spans="1:34" x14ac:dyDescent="0.2">
      <c r="B36" s="200" t="str">
        <f ca="1">'Intermediate Data'!B42</f>
        <v>Condensing Tankless</v>
      </c>
      <c r="C36" s="184"/>
      <c r="D36" s="184"/>
      <c r="E36" s="184"/>
      <c r="F36" s="184"/>
      <c r="G36" s="496">
        <f ca="1">'Intermediate Data'!E42</f>
        <v>1807.8</v>
      </c>
      <c r="H36" s="497"/>
      <c r="I36" s="497" t="str">
        <f ca="1">'Intermediate Data'!F42</f>
        <v xml:space="preserve"> </v>
      </c>
      <c r="J36" s="500"/>
      <c r="K36" s="453">
        <f ca="1">'Intermediate Data'!G42</f>
        <v>5.0999999999999996</v>
      </c>
      <c r="L36" s="212">
        <f ca="1">'Intermediate Data'!H42</f>
        <v>15.1</v>
      </c>
      <c r="M36" s="186">
        <f ca="1">'Intermediate Data'!I42</f>
        <v>-29</v>
      </c>
      <c r="N36" s="208">
        <f ca="1">'Intermediate Data'!J42</f>
        <v>50</v>
      </c>
      <c r="O36" s="13"/>
      <c r="P36" s="41"/>
      <c r="Q36" s="26"/>
      <c r="R36" s="26"/>
      <c r="S36" s="26"/>
      <c r="T36" s="26"/>
      <c r="U36" s="26"/>
      <c r="V36" s="26"/>
      <c r="W36" s="26"/>
      <c r="X36" s="26"/>
      <c r="Y36" s="24"/>
      <c r="Z36" s="24"/>
      <c r="AA36" s="24"/>
      <c r="AB36" s="24"/>
      <c r="AC36" s="24"/>
      <c r="AD36" s="24"/>
      <c r="AE36" s="24"/>
      <c r="AF36" s="24"/>
      <c r="AG36" s="24"/>
      <c r="AH36" s="13"/>
    </row>
    <row r="37" spans="1:34" ht="14.25" x14ac:dyDescent="0.2">
      <c r="C37" s="3"/>
      <c r="D37" s="3"/>
      <c r="H37" s="309" t="str">
        <f ca="1">HYPERLINK("#"&amp;ADDRESS(6,'Intermediate Data'!$E$37,1,1,"Measure Data"),"Data")</f>
        <v>Data</v>
      </c>
      <c r="I37" s="313"/>
      <c r="J37" s="309" t="str">
        <f>HYPERLINK("#"&amp;ADDRESS(6,'Intermediate Data'!F$37,1,1,"Measure Data"),"Data")</f>
        <v>Data</v>
      </c>
      <c r="K37" s="309" t="str">
        <f ca="1">HYPERLINK("#"&amp;ADDRESS(6,'Intermediate Data'!G$37,1,1,"Measure Data"),"Data")</f>
        <v>Data</v>
      </c>
      <c r="L37" s="309" t="str">
        <f ca="1">HYPERLINK("#"&amp;ADDRESS(6,'Intermediate Data'!H$37,1,1,"Measure Data"),"Data")</f>
        <v>Data</v>
      </c>
      <c r="M37" s="309" t="str">
        <f>HYPERLINK("#"&amp;ADDRESS(6,'Intermediate Data'!I$37,1,1,"Measure Data"),"Data")</f>
        <v>Data</v>
      </c>
      <c r="N37" s="309" t="str">
        <f>HYPERLINK("#"&amp;ADDRESS(6,'Intermediate Data'!J$37,1,1,"Measure Data"),"Data")</f>
        <v>Data</v>
      </c>
      <c r="O37" s="13"/>
      <c r="P37" s="41" t="str">
        <f>IFERROR(INDEX('Intermediate Data'!#REF!,6,MATCH(#REF!,'Intermediate Data'!#REF!,0)),"")</f>
        <v/>
      </c>
      <c r="Q37" s="26"/>
      <c r="R37" s="26"/>
      <c r="S37" s="24"/>
      <c r="T37" s="26"/>
      <c r="U37" s="26"/>
      <c r="V37" s="24"/>
      <c r="W37" s="24"/>
      <c r="X37" s="26"/>
      <c r="Y37" s="24"/>
      <c r="Z37" s="24"/>
      <c r="AA37" s="24"/>
      <c r="AB37" s="24"/>
      <c r="AC37" s="24"/>
      <c r="AD37" s="24"/>
      <c r="AE37" s="24"/>
      <c r="AF37" s="24"/>
      <c r="AG37" s="24"/>
      <c r="AH37" s="13"/>
    </row>
    <row r="38" spans="1:34" ht="15" x14ac:dyDescent="0.25">
      <c r="B38" s="372"/>
      <c r="C38" s="381"/>
      <c r="D38" s="381"/>
      <c r="E38" s="372"/>
      <c r="F38" s="372"/>
      <c r="G38" s="372"/>
      <c r="H38" s="372"/>
      <c r="I38" s="372"/>
      <c r="J38" s="372"/>
      <c r="K38" s="372"/>
      <c r="L38" s="372"/>
      <c r="M38" s="372"/>
      <c r="N38" s="372"/>
      <c r="O38" s="13"/>
      <c r="P38" s="27"/>
      <c r="Q38" s="192"/>
      <c r="R38" s="192"/>
      <c r="S38" s="192"/>
      <c r="T38" s="192"/>
      <c r="U38" s="192"/>
      <c r="V38" s="192"/>
      <c r="W38" s="192"/>
      <c r="X38" s="192"/>
      <c r="Y38" s="81"/>
      <c r="Z38" s="81"/>
      <c r="AA38" s="81"/>
      <c r="AB38" s="81"/>
      <c r="AC38" s="81"/>
      <c r="AD38" s="81"/>
      <c r="AE38" s="81"/>
      <c r="AF38" s="81"/>
      <c r="AG38" s="81"/>
      <c r="AH38" s="13"/>
    </row>
    <row r="39" spans="1:34" ht="23.25" x14ac:dyDescent="0.35">
      <c r="B39" s="78" t="s">
        <v>306</v>
      </c>
      <c r="C39" s="4"/>
      <c r="D39" s="4"/>
      <c r="E39" s="4"/>
      <c r="F39" s="4"/>
      <c r="G39" s="4"/>
      <c r="H39" s="4"/>
      <c r="I39" s="4"/>
      <c r="J39" s="4"/>
      <c r="K39" s="4"/>
      <c r="L39" s="4"/>
      <c r="M39" s="4"/>
      <c r="N39" s="214"/>
      <c r="O39" s="214"/>
      <c r="Q39" s="26"/>
      <c r="R39" s="26"/>
      <c r="S39" s="26"/>
      <c r="T39" s="26"/>
      <c r="U39" s="26"/>
      <c r="V39" s="26"/>
      <c r="W39" s="26"/>
      <c r="X39" s="26"/>
      <c r="Y39" s="24"/>
      <c r="Z39" s="24"/>
      <c r="AA39" s="24"/>
      <c r="AB39" s="24"/>
      <c r="AC39" s="24"/>
      <c r="AD39" s="24"/>
      <c r="AE39" s="24"/>
      <c r="AF39" s="24"/>
      <c r="AG39" s="24"/>
      <c r="AH39" s="13"/>
    </row>
    <row r="40" spans="1:34" x14ac:dyDescent="0.2">
      <c r="B40" s="317" t="s">
        <v>735</v>
      </c>
      <c r="I40" s="187" t="s">
        <v>345</v>
      </c>
      <c r="O40" s="13"/>
      <c r="Q40" s="24"/>
      <c r="R40" s="24"/>
      <c r="S40" s="24"/>
      <c r="T40" s="24"/>
      <c r="U40" s="24"/>
      <c r="V40" s="24"/>
      <c r="W40" s="24"/>
      <c r="X40" s="24"/>
      <c r="Y40" s="24"/>
      <c r="Z40" s="24"/>
      <c r="AA40" s="24"/>
      <c r="AB40" s="24"/>
      <c r="AC40" s="24"/>
      <c r="AD40" s="24"/>
      <c r="AE40" s="24"/>
      <c r="AF40" s="24"/>
      <c r="AG40" s="24"/>
      <c r="AH40" s="13"/>
    </row>
    <row r="41" spans="1:34" x14ac:dyDescent="0.2">
      <c r="B41" s="317" t="s">
        <v>736</v>
      </c>
      <c r="C41" s="492"/>
      <c r="D41" s="492"/>
      <c r="E41" s="492"/>
      <c r="F41" s="492"/>
      <c r="G41" s="492"/>
      <c r="H41" s="492"/>
      <c r="I41" s="492"/>
      <c r="J41" s="492"/>
      <c r="K41" s="492"/>
      <c r="L41" s="492"/>
      <c r="M41" s="492"/>
      <c r="N41" s="492"/>
      <c r="O41" s="13"/>
      <c r="Q41" s="81"/>
      <c r="R41" s="81"/>
      <c r="S41" s="81"/>
      <c r="T41" s="81"/>
      <c r="U41" s="81"/>
      <c r="V41" s="81"/>
      <c r="W41" s="81"/>
      <c r="X41" s="81"/>
      <c r="Y41" s="81"/>
      <c r="Z41" s="81"/>
      <c r="AA41" s="81"/>
      <c r="AB41" s="81"/>
      <c r="AC41" s="81"/>
      <c r="AD41" s="81"/>
      <c r="AE41" s="81"/>
      <c r="AF41" s="81"/>
      <c r="AG41" s="81"/>
      <c r="AH41" s="13"/>
    </row>
    <row r="42" spans="1:34" ht="15.75" customHeight="1" x14ac:dyDescent="0.2">
      <c r="B42" s="493" t="s">
        <v>734</v>
      </c>
      <c r="C42" s="493"/>
      <c r="D42" s="493"/>
      <c r="E42" s="493"/>
      <c r="F42" s="493"/>
      <c r="G42" s="493"/>
      <c r="H42" s="493"/>
      <c r="I42" s="493"/>
      <c r="J42" s="493"/>
      <c r="K42" s="493"/>
      <c r="L42" s="493"/>
      <c r="M42" s="493"/>
      <c r="N42" s="493"/>
      <c r="O42" s="493"/>
      <c r="Q42" s="81"/>
      <c r="R42" s="81"/>
      <c r="S42" s="81"/>
      <c r="T42" s="81"/>
      <c r="U42" s="81"/>
      <c r="V42" s="81"/>
      <c r="W42" s="81"/>
      <c r="X42" s="81"/>
      <c r="Y42" s="81"/>
      <c r="Z42" s="81"/>
      <c r="AA42" s="81"/>
      <c r="AB42" s="81"/>
      <c r="AC42" s="81"/>
      <c r="AD42" s="81"/>
      <c r="AE42" s="81"/>
      <c r="AF42" s="81"/>
      <c r="AG42" s="81"/>
      <c r="AH42" s="13"/>
    </row>
    <row r="43" spans="1:34" ht="12.75" customHeight="1" x14ac:dyDescent="0.2">
      <c r="B43" s="493"/>
      <c r="C43" s="493"/>
      <c r="D43" s="493"/>
      <c r="E43" s="493"/>
      <c r="F43" s="493"/>
      <c r="G43" s="493"/>
      <c r="H43" s="493"/>
      <c r="I43" s="493"/>
      <c r="J43" s="493"/>
      <c r="K43" s="493"/>
      <c r="L43" s="493"/>
      <c r="M43" s="493"/>
      <c r="N43" s="493"/>
      <c r="O43" s="493"/>
      <c r="Q43" s="24"/>
      <c r="R43" s="81"/>
      <c r="S43" s="81"/>
      <c r="T43" s="81"/>
      <c r="U43" s="81"/>
      <c r="V43" s="81"/>
      <c r="W43" s="81"/>
      <c r="X43" s="81"/>
      <c r="Y43" s="81"/>
      <c r="Z43" s="81"/>
      <c r="AA43" s="81"/>
      <c r="AB43" s="81"/>
      <c r="AC43" s="81"/>
      <c r="AD43" s="81"/>
      <c r="AE43" s="81"/>
      <c r="AF43" s="81"/>
      <c r="AG43" s="81"/>
      <c r="AH43" s="13"/>
    </row>
    <row r="44" spans="1:34" x14ac:dyDescent="0.2">
      <c r="B44" s="493"/>
      <c r="C44" s="493"/>
      <c r="D44" s="493"/>
      <c r="E44" s="493"/>
      <c r="F44" s="493"/>
      <c r="G44" s="493"/>
      <c r="H44" s="493"/>
      <c r="I44" s="493"/>
      <c r="J44" s="493"/>
      <c r="K44" s="493"/>
      <c r="L44" s="493"/>
      <c r="M44" s="493"/>
      <c r="N44" s="493"/>
      <c r="O44" s="493"/>
      <c r="P44" s="64"/>
      <c r="Q44" s="24"/>
      <c r="R44" s="81"/>
      <c r="S44" s="81"/>
      <c r="T44" s="81"/>
      <c r="U44" s="81"/>
      <c r="V44" s="81"/>
      <c r="W44" s="81"/>
      <c r="X44" s="81"/>
      <c r="Y44" s="81"/>
      <c r="Z44" s="81"/>
      <c r="AA44" s="81"/>
      <c r="AB44" s="81"/>
      <c r="AC44" s="81"/>
      <c r="AD44" s="81"/>
      <c r="AE44" s="81"/>
      <c r="AF44" s="81"/>
      <c r="AG44" s="81"/>
      <c r="AH44" s="13"/>
    </row>
    <row r="45" spans="1:34" ht="10.9" customHeight="1" x14ac:dyDescent="0.2">
      <c r="B45" s="493"/>
      <c r="C45" s="493"/>
      <c r="D45" s="493"/>
      <c r="E45" s="493"/>
      <c r="F45" s="493"/>
      <c r="G45" s="493"/>
      <c r="H45" s="493"/>
      <c r="I45" s="493"/>
      <c r="J45" s="493"/>
      <c r="K45" s="493"/>
      <c r="L45" s="493"/>
      <c r="M45" s="493"/>
      <c r="N45" s="493"/>
      <c r="O45" s="493"/>
      <c r="P45" s="64"/>
      <c r="Q45" s="24"/>
      <c r="R45" s="81"/>
      <c r="S45" s="81"/>
      <c r="T45" s="81"/>
      <c r="U45" s="81"/>
      <c r="V45" s="81"/>
      <c r="W45" s="81"/>
      <c r="X45" s="81"/>
      <c r="Y45" s="81"/>
      <c r="Z45" s="81"/>
      <c r="AA45" s="81"/>
      <c r="AB45" s="81"/>
      <c r="AC45" s="81"/>
      <c r="AD45" s="81"/>
      <c r="AE45" s="81"/>
      <c r="AF45" s="81"/>
      <c r="AG45" s="81"/>
      <c r="AH45" s="13"/>
    </row>
    <row r="46" spans="1:34" x14ac:dyDescent="0.2">
      <c r="A46" s="64"/>
      <c r="B46" s="493"/>
      <c r="C46" s="493"/>
      <c r="D46" s="493"/>
      <c r="E46" s="493"/>
      <c r="F46" s="493"/>
      <c r="G46" s="493"/>
      <c r="H46" s="493"/>
      <c r="I46" s="493"/>
      <c r="J46" s="493"/>
      <c r="K46" s="493"/>
      <c r="L46" s="493"/>
      <c r="M46" s="493"/>
      <c r="N46" s="493"/>
      <c r="O46" s="493"/>
      <c r="P46" s="64"/>
      <c r="Q46" s="24"/>
      <c r="R46" s="81"/>
      <c r="S46" s="81"/>
      <c r="T46" s="81"/>
      <c r="U46" s="81"/>
      <c r="V46" s="81"/>
      <c r="W46" s="81"/>
      <c r="X46" s="81"/>
      <c r="Y46" s="81"/>
      <c r="Z46" s="81"/>
      <c r="AA46" s="81"/>
      <c r="AB46" s="81"/>
      <c r="AC46" s="81"/>
      <c r="AD46" s="81"/>
      <c r="AE46" s="81"/>
      <c r="AF46" s="81"/>
      <c r="AG46" s="81"/>
      <c r="AH46" s="79"/>
    </row>
    <row r="47" spans="1:34" x14ac:dyDescent="0.2">
      <c r="B47" s="493"/>
      <c r="C47" s="493"/>
      <c r="D47" s="493"/>
      <c r="E47" s="493"/>
      <c r="F47" s="493"/>
      <c r="G47" s="493"/>
      <c r="H47" s="493"/>
      <c r="I47" s="493"/>
      <c r="J47" s="493"/>
      <c r="K47" s="493"/>
      <c r="L47" s="493"/>
      <c r="M47" s="493"/>
      <c r="N47" s="493"/>
      <c r="O47" s="493"/>
      <c r="P47" s="64"/>
      <c r="Q47" s="24"/>
      <c r="R47" s="81"/>
      <c r="S47" s="81"/>
      <c r="T47" s="81"/>
      <c r="U47" s="81"/>
      <c r="V47" s="81"/>
      <c r="W47" s="81"/>
      <c r="X47" s="81"/>
      <c r="Y47" s="81"/>
      <c r="Z47" s="81"/>
      <c r="AA47" s="81"/>
      <c r="AB47" s="81"/>
      <c r="AC47" s="81"/>
      <c r="AD47" s="81"/>
      <c r="AE47" s="81"/>
      <c r="AF47" s="81"/>
      <c r="AG47" s="81"/>
      <c r="AH47" s="13"/>
    </row>
    <row r="48" spans="1:34" x14ac:dyDescent="0.2">
      <c r="B48" s="493"/>
      <c r="C48" s="493"/>
      <c r="D48" s="493"/>
      <c r="E48" s="493"/>
      <c r="F48" s="493"/>
      <c r="G48" s="493"/>
      <c r="H48" s="493"/>
      <c r="I48" s="493"/>
      <c r="J48" s="493"/>
      <c r="K48" s="493"/>
      <c r="L48" s="493"/>
      <c r="M48" s="493"/>
      <c r="N48" s="493"/>
      <c r="O48" s="493"/>
      <c r="P48" s="64"/>
      <c r="Q48" s="24"/>
      <c r="R48" s="81"/>
      <c r="S48" s="81"/>
      <c r="T48" s="81"/>
      <c r="U48" s="81"/>
      <c r="V48" s="81"/>
      <c r="W48" s="81"/>
      <c r="X48" s="81"/>
      <c r="Y48" s="81"/>
      <c r="Z48" s="81"/>
      <c r="AA48" s="81"/>
      <c r="AB48" s="81"/>
      <c r="AC48" s="81"/>
      <c r="AD48" s="81"/>
      <c r="AE48" s="81"/>
      <c r="AF48" s="81"/>
      <c r="AG48" s="81"/>
      <c r="AH48" s="13"/>
    </row>
    <row r="49" spans="1:34" x14ac:dyDescent="0.2">
      <c r="B49" s="493" t="s">
        <v>398</v>
      </c>
      <c r="C49" s="493"/>
      <c r="D49" s="493"/>
      <c r="E49" s="493"/>
      <c r="F49" s="493"/>
      <c r="G49" s="493"/>
      <c r="H49" s="493"/>
      <c r="I49" s="493"/>
      <c r="J49" s="493"/>
      <c r="K49" s="493"/>
      <c r="L49" s="493"/>
      <c r="M49" s="493"/>
      <c r="N49" s="493"/>
      <c r="P49" s="64"/>
      <c r="Q49" s="24"/>
      <c r="R49" s="81"/>
      <c r="S49" s="81"/>
      <c r="T49" s="81"/>
      <c r="U49" s="81"/>
      <c r="V49" s="81"/>
      <c r="W49" s="81"/>
      <c r="X49" s="81"/>
      <c r="Y49" s="81"/>
      <c r="Z49" s="81"/>
      <c r="AA49" s="81"/>
      <c r="AB49" s="81"/>
      <c r="AC49" s="81"/>
      <c r="AD49" s="81"/>
      <c r="AE49" s="81"/>
      <c r="AF49" s="81"/>
      <c r="AG49" s="81"/>
      <c r="AH49" s="13"/>
    </row>
    <row r="50" spans="1:34" ht="13.5" customHeight="1" x14ac:dyDescent="0.2">
      <c r="B50" s="493"/>
      <c r="C50" s="493"/>
      <c r="D50" s="493"/>
      <c r="E50" s="493"/>
      <c r="F50" s="493"/>
      <c r="G50" s="493"/>
      <c r="H50" s="493"/>
      <c r="I50" s="493"/>
      <c r="J50" s="493"/>
      <c r="K50" s="493"/>
      <c r="L50" s="493"/>
      <c r="M50" s="493"/>
      <c r="N50" s="493"/>
      <c r="P50" s="64"/>
      <c r="Q50" s="24"/>
      <c r="R50" s="81"/>
      <c r="S50" s="81"/>
      <c r="T50" s="81"/>
      <c r="U50" s="81"/>
      <c r="V50" s="81"/>
      <c r="W50" s="81"/>
      <c r="X50" s="81"/>
      <c r="Y50" s="81"/>
      <c r="Z50" s="81"/>
      <c r="AA50" s="81"/>
      <c r="AB50" s="81"/>
      <c r="AC50" s="81"/>
      <c r="AD50" s="81"/>
      <c r="AE50" s="81"/>
      <c r="AF50" s="81"/>
      <c r="AG50" s="81"/>
      <c r="AH50" s="13"/>
    </row>
    <row r="51" spans="1:34" ht="15" customHeight="1" x14ac:dyDescent="0.2">
      <c r="B51" s="187" t="s">
        <v>338</v>
      </c>
      <c r="P51" s="64"/>
      <c r="Q51" s="81"/>
      <c r="R51" s="81"/>
      <c r="S51" s="81"/>
      <c r="T51" s="81"/>
      <c r="U51" s="81"/>
      <c r="V51" s="81"/>
      <c r="W51" s="81"/>
      <c r="X51" s="81"/>
      <c r="Y51" s="81"/>
      <c r="Z51" s="81"/>
      <c r="AA51" s="81"/>
      <c r="AB51" s="81"/>
      <c r="AC51" s="81"/>
      <c r="AD51" s="81"/>
      <c r="AE51" s="81"/>
      <c r="AF51" s="81"/>
      <c r="AG51" s="81"/>
      <c r="AH51" s="13"/>
    </row>
    <row r="52" spans="1:34" ht="15.75" customHeight="1" x14ac:dyDescent="0.2">
      <c r="B52" s="491" t="s">
        <v>334</v>
      </c>
      <c r="C52" s="20"/>
      <c r="D52" s="20"/>
      <c r="E52" s="20"/>
      <c r="F52" t="s">
        <v>343</v>
      </c>
      <c r="O52" s="64"/>
      <c r="P52" s="64"/>
      <c r="Q52" s="24"/>
      <c r="R52" s="216" t="s">
        <v>256</v>
      </c>
      <c r="S52" s="217"/>
      <c r="T52" s="217"/>
      <c r="U52" s="217"/>
      <c r="V52" s="217"/>
      <c r="W52" s="217"/>
      <c r="X52" s="217"/>
      <c r="Y52" s="217"/>
      <c r="Z52" s="217"/>
      <c r="AA52" s="217"/>
      <c r="AB52" s="217"/>
      <c r="AC52" s="217"/>
      <c r="AD52" s="217"/>
      <c r="AE52" s="81"/>
      <c r="AF52" s="81"/>
      <c r="AG52" s="81"/>
      <c r="AH52" s="13"/>
    </row>
    <row r="53" spans="1:34" x14ac:dyDescent="0.2">
      <c r="A53" s="29"/>
      <c r="B53" s="318" t="s">
        <v>728</v>
      </c>
      <c r="C53" s="318"/>
      <c r="D53" s="318"/>
      <c r="E53" s="318"/>
      <c r="F53" t="s">
        <v>731</v>
      </c>
      <c r="O53" s="64"/>
      <c r="P53" s="64"/>
      <c r="Q53" s="81"/>
      <c r="R53" s="122" t="s">
        <v>12</v>
      </c>
      <c r="S53" s="121"/>
      <c r="T53" s="121"/>
      <c r="U53" s="121"/>
      <c r="V53" s="121"/>
      <c r="W53" s="121"/>
      <c r="X53" s="122" t="s">
        <v>257</v>
      </c>
      <c r="Y53" s="20"/>
      <c r="Z53" s="122" t="s">
        <v>239</v>
      </c>
      <c r="AA53" s="122"/>
      <c r="AB53" s="20"/>
      <c r="AC53" s="122" t="s">
        <v>4</v>
      </c>
      <c r="AD53" s="121"/>
      <c r="AE53" s="81"/>
      <c r="AF53" s="81"/>
      <c r="AG53" s="81"/>
      <c r="AH53" s="13"/>
    </row>
    <row r="54" spans="1:34" ht="15.75" x14ac:dyDescent="0.25">
      <c r="A54" s="29"/>
      <c r="B54" s="318" t="s">
        <v>729</v>
      </c>
      <c r="C54" s="318"/>
      <c r="D54" s="318"/>
      <c r="E54" s="318"/>
      <c r="F54" t="s">
        <v>730</v>
      </c>
      <c r="H54" s="82"/>
      <c r="I54" s="82"/>
      <c r="N54" s="29"/>
      <c r="O54" s="64"/>
      <c r="P54" s="64"/>
      <c r="Q54" s="81"/>
      <c r="R54" s="123" t="str">
        <f>IF('codes and specs view figures'!$B$5&lt;3,'Intermediate Data'!B73,'Intermediate Data'!B76)</f>
        <v>*ENERGY STAR EPACT (Condensing Storage)</v>
      </c>
      <c r="S54" s="124"/>
      <c r="T54" s="124"/>
      <c r="U54" s="124"/>
      <c r="V54" s="123"/>
      <c r="W54" s="123"/>
      <c r="X54" s="123" t="str">
        <f>IF('codes and specs view figures'!$B$5&lt;3,'Intermediate Data'!C73,'Intermediate Data'!C76)</f>
        <v>Any</v>
      </c>
      <c r="Y54" s="124"/>
      <c r="Z54" s="123" t="str">
        <f>IF('codes and specs view figures'!D5&lt;3,'Intermediate Data'!D73,'Intermediate Data'!D76)</f>
        <v>0.90 TE</v>
      </c>
      <c r="AA54" s="124"/>
      <c r="AB54" s="125"/>
      <c r="AC54" s="123" t="str">
        <f>IF('codes and specs view figures'!$B$5&lt;3,'Intermediate Data'!E73,'Intermediate Data'!E76)</f>
        <v xml:space="preserve">2013 - </v>
      </c>
      <c r="AD54" s="125"/>
      <c r="AE54" s="24"/>
      <c r="AF54" s="24"/>
      <c r="AG54" s="24"/>
      <c r="AH54" s="13"/>
    </row>
    <row r="55" spans="1:34" ht="15.75" x14ac:dyDescent="0.25">
      <c r="A55" s="29"/>
      <c r="B55" s="318" t="s">
        <v>335</v>
      </c>
      <c r="C55" s="24"/>
      <c r="D55" s="24"/>
      <c r="E55" s="24"/>
      <c r="F55" t="s">
        <v>339</v>
      </c>
      <c r="H55" s="82"/>
      <c r="I55" s="82"/>
      <c r="N55" s="29"/>
      <c r="O55" s="64"/>
      <c r="P55" s="64"/>
      <c r="Q55" s="81"/>
      <c r="R55" s="126" t="str">
        <f>IF('codes and specs view figures'!$B$5&lt;3,'Intermediate Data'!B74,'Intermediate Data'!B77)</f>
        <v>ENERGY STAR Solar</v>
      </c>
      <c r="S55" s="127"/>
      <c r="T55" s="127"/>
      <c r="U55" s="127"/>
      <c r="V55" s="128"/>
      <c r="W55" s="128"/>
      <c r="X55" s="126" t="str">
        <f>IF('codes and specs view figures'!$B$5&lt;3,'Intermediate Data'!C74,'Intermediate Data'!C77)</f>
        <v>Any</v>
      </c>
      <c r="Y55" s="127"/>
      <c r="Z55" s="126" t="str">
        <f>IF('codes and specs view figures'!$B$5&lt;3,'Intermediate Data'!D74,'Intermediate Data'!D77)</f>
        <v>0.5 SF</v>
      </c>
      <c r="AA55" s="127"/>
      <c r="AB55" s="126"/>
      <c r="AC55" s="126" t="str">
        <f>IF('codes and specs view figures'!$B$5&lt;3,'Intermediate Data'!E74,'Intermediate Data'!E77)</f>
        <v>2009-2013</v>
      </c>
      <c r="AD55" s="126"/>
      <c r="AE55" s="81"/>
      <c r="AF55" s="81"/>
      <c r="AG55" s="81"/>
      <c r="AH55" s="13"/>
    </row>
    <row r="56" spans="1:34" ht="15.75" x14ac:dyDescent="0.25">
      <c r="B56" s="318" t="s">
        <v>336</v>
      </c>
      <c r="C56" s="24"/>
      <c r="D56" s="24"/>
      <c r="E56" s="24"/>
      <c r="F56" t="s">
        <v>340</v>
      </c>
      <c r="H56" s="82"/>
      <c r="I56" s="82"/>
      <c r="N56" s="29"/>
      <c r="O56" s="64"/>
      <c r="P56" s="64"/>
      <c r="Q56" s="81"/>
      <c r="R56" s="129" t="str">
        <f>IF('codes and specs view figures'!$B$5&lt;3,'Intermediate Data'!B75,"")</f>
        <v>ENERGY STAR Solar - Gas backup</v>
      </c>
      <c r="S56" s="130"/>
      <c r="T56" s="130"/>
      <c r="U56" s="130"/>
      <c r="V56" s="131"/>
      <c r="W56" s="131"/>
      <c r="X56" s="129" t="str">
        <f>IF('codes and specs view figures'!$B$5&lt;3,'Intermediate Data'!C75,"")</f>
        <v>Any</v>
      </c>
      <c r="Y56" s="130"/>
      <c r="Z56" s="129" t="str">
        <f>IF('codes and specs view figures'!$B$5&lt;3,'Intermediate Data'!D75,"")</f>
        <v>1.2 SEF</v>
      </c>
      <c r="AA56" s="130"/>
      <c r="AB56" s="129"/>
      <c r="AC56" s="129" t="str">
        <f>IF('codes and specs view figures'!$B$5&lt;3,'Intermediate Data'!E75,"")</f>
        <v>2013 -</v>
      </c>
      <c r="AD56" s="129"/>
      <c r="AE56" s="81"/>
      <c r="AF56" s="81"/>
      <c r="AG56" s="81"/>
      <c r="AH56" s="13"/>
    </row>
    <row r="57" spans="1:34" ht="15.75" x14ac:dyDescent="0.25">
      <c r="B57" s="318" t="s">
        <v>337</v>
      </c>
      <c r="C57" s="24"/>
      <c r="D57" s="24"/>
      <c r="E57" s="24"/>
      <c r="F57" t="s">
        <v>341</v>
      </c>
      <c r="H57" s="82"/>
      <c r="I57" s="82"/>
      <c r="O57" s="64"/>
      <c r="P57" s="64"/>
      <c r="Q57" s="24"/>
      <c r="R57" s="24" t="s">
        <v>622</v>
      </c>
      <c r="S57" s="24"/>
      <c r="T57" s="24"/>
      <c r="U57" s="24"/>
      <c r="V57" s="24"/>
      <c r="W57" s="24"/>
      <c r="X57" s="24"/>
      <c r="Y57" s="24"/>
      <c r="Z57" s="24"/>
      <c r="AA57" s="24"/>
      <c r="AB57" s="24"/>
      <c r="AC57" s="24"/>
      <c r="AD57" s="81"/>
      <c r="AE57" s="81"/>
      <c r="AF57" s="81"/>
      <c r="AG57" s="81"/>
      <c r="AH57" s="13"/>
    </row>
    <row r="58" spans="1:34" ht="15.75" x14ac:dyDescent="0.25">
      <c r="B58" s="318" t="s">
        <v>275</v>
      </c>
      <c r="C58" s="24"/>
      <c r="D58" s="24"/>
      <c r="E58" s="24"/>
      <c r="F58" s="29" t="s">
        <v>342</v>
      </c>
      <c r="G58" s="29"/>
      <c r="H58" s="82"/>
      <c r="I58" s="82"/>
      <c r="J58" s="29"/>
      <c r="K58" s="29"/>
      <c r="L58" s="29"/>
      <c r="M58" s="29"/>
      <c r="O58" s="64"/>
      <c r="AH58" s="13"/>
    </row>
    <row r="59" spans="1:34" ht="15.75" hidden="1" x14ac:dyDescent="0.25">
      <c r="A59" s="64"/>
      <c r="I59" s="82"/>
      <c r="O59" s="64"/>
      <c r="AH59" s="13"/>
    </row>
    <row r="60" spans="1:34" ht="15.75" hidden="1" x14ac:dyDescent="0.25">
      <c r="A60" s="64"/>
      <c r="B60" s="84"/>
      <c r="C60" s="83"/>
      <c r="D60" s="83"/>
      <c r="E60" s="84"/>
      <c r="F60" s="82"/>
      <c r="G60" s="82"/>
      <c r="H60" s="82"/>
      <c r="I60" s="82"/>
      <c r="O60" s="64"/>
      <c r="AH60" s="13"/>
    </row>
    <row r="61" spans="1:34" hidden="1" x14ac:dyDescent="0.2">
      <c r="A61" s="64"/>
      <c r="B61" s="80"/>
      <c r="C61" s="80"/>
      <c r="D61" s="80"/>
      <c r="E61" s="80"/>
      <c r="O61" s="64"/>
      <c r="AH61" s="13"/>
    </row>
    <row r="62" spans="1:34" hidden="1" x14ac:dyDescent="0.2">
      <c r="A62" s="64"/>
      <c r="B62" s="79"/>
      <c r="C62" s="79"/>
      <c r="D62" s="79"/>
      <c r="E62" s="79"/>
      <c r="O62" s="64"/>
      <c r="AH62" s="13"/>
    </row>
    <row r="63" spans="1:34" hidden="1" x14ac:dyDescent="0.2">
      <c r="A63" s="64"/>
      <c r="B63" s="80"/>
      <c r="C63" s="79"/>
      <c r="D63" s="79"/>
      <c r="E63" s="79"/>
      <c r="O63" s="64"/>
      <c r="AH63" s="79"/>
    </row>
    <row r="64" spans="1:34" hidden="1" x14ac:dyDescent="0.2">
      <c r="A64" s="64"/>
      <c r="B64" s="79"/>
      <c r="C64" s="79"/>
      <c r="D64" s="79"/>
      <c r="E64" s="79"/>
      <c r="O64" s="64"/>
      <c r="AH64" s="79"/>
    </row>
    <row r="65" spans="1:34" hidden="1" x14ac:dyDescent="0.2">
      <c r="A65" s="64"/>
      <c r="B65" s="80"/>
      <c r="C65" s="80"/>
      <c r="D65" s="80"/>
      <c r="E65" s="80"/>
      <c r="O65" s="64"/>
      <c r="AH65" s="79"/>
    </row>
    <row r="66" spans="1:34" hidden="1" x14ac:dyDescent="0.2">
      <c r="A66" s="7"/>
      <c r="B66" s="64"/>
      <c r="C66" s="14"/>
      <c r="D66" s="14"/>
      <c r="E66" s="14"/>
      <c r="AC66" s="13"/>
      <c r="AD66" s="13"/>
      <c r="AE66" s="13"/>
      <c r="AF66" s="13"/>
      <c r="AG66" s="13"/>
      <c r="AH66" s="13"/>
    </row>
    <row r="67" spans="1:34" ht="17.45" hidden="1" customHeight="1" x14ac:dyDescent="0.2">
      <c r="B67" s="64"/>
      <c r="C67" s="14"/>
      <c r="D67" s="14"/>
      <c r="E67" s="14"/>
      <c r="Q67" s="13"/>
      <c r="R67" s="13"/>
      <c r="S67" s="13"/>
      <c r="T67" s="13"/>
      <c r="U67" s="13"/>
      <c r="V67" s="13"/>
      <c r="W67" s="13"/>
      <c r="X67" s="13"/>
      <c r="Y67" s="13"/>
      <c r="Z67" s="13"/>
      <c r="AA67" s="13"/>
      <c r="AB67" s="13"/>
      <c r="AC67" s="13"/>
      <c r="AD67" s="13"/>
      <c r="AE67" s="13"/>
      <c r="AF67" s="13"/>
      <c r="AG67" s="13"/>
      <c r="AH67" s="13"/>
    </row>
    <row r="68" spans="1:34" ht="17.45" hidden="1" customHeight="1" x14ac:dyDescent="0.2">
      <c r="C68" s="14"/>
      <c r="D68" s="14"/>
      <c r="E68" s="14"/>
      <c r="Q68" s="13"/>
      <c r="R68" s="13"/>
      <c r="S68" s="13"/>
      <c r="T68" s="13"/>
      <c r="U68" s="13"/>
      <c r="V68" s="13"/>
      <c r="W68" s="13"/>
      <c r="X68" s="13"/>
      <c r="Y68" s="13"/>
      <c r="Z68" s="13"/>
      <c r="AA68" s="13"/>
      <c r="AB68" s="13"/>
      <c r="AC68" s="13"/>
      <c r="AD68" s="13"/>
      <c r="AE68" s="13"/>
      <c r="AF68" s="13"/>
      <c r="AG68" s="13"/>
      <c r="AH68" s="13"/>
    </row>
    <row r="69" spans="1:34" hidden="1" x14ac:dyDescent="0.2">
      <c r="A69" s="29"/>
      <c r="B69" s="29"/>
      <c r="C69" s="29"/>
      <c r="D69" s="29"/>
      <c r="E69" s="29"/>
      <c r="O69" s="40"/>
      <c r="P69" s="40"/>
      <c r="Q69" s="79"/>
      <c r="R69" s="120"/>
      <c r="S69" s="120"/>
      <c r="T69" s="120"/>
      <c r="U69" s="120"/>
      <c r="V69" s="13"/>
      <c r="W69" s="13"/>
      <c r="X69" s="13"/>
      <c r="Y69" s="13"/>
      <c r="Z69" s="13"/>
      <c r="AA69" s="13"/>
      <c r="AB69" s="13"/>
      <c r="AC69" s="13"/>
      <c r="AD69" s="13"/>
      <c r="AE69" s="13"/>
      <c r="AF69" s="13"/>
      <c r="AG69" s="13"/>
      <c r="AH69" s="13"/>
    </row>
    <row r="70" spans="1:34" hidden="1" x14ac:dyDescent="0.2">
      <c r="G70" s="14"/>
      <c r="I70" s="14"/>
      <c r="J70" s="14"/>
      <c r="K70" s="14"/>
      <c r="L70" s="14"/>
      <c r="M70" s="14"/>
      <c r="N70" s="14"/>
      <c r="O70" s="14"/>
      <c r="P70" s="14"/>
      <c r="Q70" s="79"/>
      <c r="R70" s="14"/>
      <c r="S70" s="14"/>
      <c r="T70" s="14"/>
      <c r="U70" s="14"/>
      <c r="V70" s="14"/>
      <c r="W70" s="14"/>
      <c r="X70" s="14"/>
      <c r="Y70" s="14"/>
      <c r="Z70" s="14"/>
      <c r="AA70" s="14"/>
      <c r="AB70" s="14"/>
      <c r="AC70" s="14"/>
      <c r="AD70" s="14"/>
      <c r="AE70" s="14"/>
      <c r="AF70" s="14"/>
    </row>
    <row r="71" spans="1:34" hidden="1" x14ac:dyDescent="0.2">
      <c r="A71" s="64"/>
      <c r="B71" s="64"/>
      <c r="C71" s="64"/>
      <c r="D71" s="64"/>
      <c r="E71" s="64"/>
      <c r="F71" s="64"/>
      <c r="G71" s="64"/>
      <c r="H71" s="64"/>
      <c r="I71" s="64"/>
      <c r="J71" s="64"/>
      <c r="K71" s="64"/>
      <c r="L71" s="64"/>
      <c r="M71" s="64"/>
      <c r="N71" s="64"/>
      <c r="O71" s="64"/>
      <c r="P71" s="64"/>
      <c r="Q71" s="64"/>
      <c r="R71" s="64"/>
      <c r="S71" s="64"/>
      <c r="T71" s="64"/>
      <c r="U71" s="64"/>
      <c r="V71" s="64"/>
      <c r="W71" s="64"/>
      <c r="X71" s="64"/>
      <c r="Y71" s="64"/>
      <c r="Z71" s="64"/>
      <c r="AA71" s="64"/>
      <c r="AB71" s="64"/>
      <c r="AC71" s="64"/>
      <c r="AD71" s="64"/>
      <c r="AE71" s="64"/>
      <c r="AF71" s="64"/>
      <c r="AG71" s="64"/>
      <c r="AH71" s="64"/>
    </row>
    <row r="72" spans="1:34" ht="13.5" hidden="1" customHeight="1" x14ac:dyDescent="0.2">
      <c r="A72" s="64"/>
      <c r="B72" s="64"/>
      <c r="C72" s="64"/>
      <c r="D72" s="64"/>
      <c r="E72" s="64"/>
      <c r="F72" s="64"/>
      <c r="G72" s="64"/>
      <c r="H72" s="64"/>
      <c r="I72" s="64"/>
      <c r="J72" s="64"/>
      <c r="K72" s="64"/>
      <c r="L72" s="64"/>
      <c r="M72" s="64"/>
      <c r="N72" s="64"/>
      <c r="O72" s="64"/>
      <c r="P72" s="64"/>
      <c r="Q72" s="64"/>
      <c r="R72" s="64"/>
      <c r="S72" s="64"/>
      <c r="T72" s="64"/>
      <c r="U72" s="64"/>
      <c r="V72" s="64"/>
      <c r="W72" s="64"/>
      <c r="X72" s="64"/>
      <c r="Y72" s="64"/>
      <c r="Z72" s="64"/>
      <c r="AA72" s="64"/>
      <c r="AB72" s="64"/>
      <c r="AC72" s="64"/>
      <c r="AD72" s="64"/>
      <c r="AE72" s="64"/>
      <c r="AF72" s="64"/>
      <c r="AG72" s="64"/>
      <c r="AH72" s="64"/>
    </row>
    <row r="73" spans="1:34" hidden="1" x14ac:dyDescent="0.2">
      <c r="A73" s="64"/>
      <c r="B73" s="64"/>
      <c r="C73" s="64"/>
      <c r="D73" s="64"/>
      <c r="E73" s="64"/>
      <c r="F73" s="64"/>
      <c r="G73" s="64"/>
      <c r="H73" s="64"/>
      <c r="I73" s="64"/>
      <c r="J73" s="64"/>
      <c r="K73" s="64"/>
      <c r="L73" s="64"/>
      <c r="M73" s="64"/>
      <c r="N73" s="64"/>
      <c r="O73" s="64"/>
      <c r="P73" s="64"/>
      <c r="Q73" s="64"/>
      <c r="R73" s="64"/>
      <c r="S73" s="64"/>
      <c r="T73" s="64"/>
      <c r="U73" s="64"/>
      <c r="V73" s="64"/>
      <c r="W73" s="64"/>
      <c r="X73" s="64"/>
      <c r="Y73" s="64"/>
      <c r="Z73" s="64"/>
      <c r="AA73" s="64"/>
      <c r="AB73" s="64"/>
      <c r="AC73" s="64"/>
      <c r="AD73" s="64"/>
      <c r="AE73" s="64"/>
      <c r="AF73" s="64"/>
      <c r="AG73" s="64"/>
      <c r="AH73" s="64"/>
    </row>
    <row r="74" spans="1:34" hidden="1" x14ac:dyDescent="0.2">
      <c r="A74" s="64"/>
      <c r="B74" s="64"/>
      <c r="C74" s="64"/>
      <c r="D74" s="64"/>
      <c r="E74" s="64"/>
      <c r="F74" s="64"/>
      <c r="G74" s="64"/>
      <c r="H74" s="64"/>
      <c r="I74" s="64"/>
      <c r="J74" s="64"/>
      <c r="K74" s="64"/>
      <c r="L74" s="64"/>
      <c r="M74" s="64"/>
      <c r="N74" s="64"/>
      <c r="O74" s="64"/>
      <c r="P74" s="64"/>
      <c r="Q74" s="64"/>
      <c r="R74" s="64"/>
      <c r="S74" s="64"/>
      <c r="T74" s="64"/>
      <c r="U74" s="64"/>
      <c r="V74" s="64"/>
      <c r="W74" s="64"/>
      <c r="X74" s="64"/>
      <c r="Y74" s="64"/>
      <c r="Z74" s="64"/>
      <c r="AA74" s="64"/>
      <c r="AB74" s="64"/>
      <c r="AC74" s="64"/>
      <c r="AD74" s="64"/>
      <c r="AE74" s="64"/>
      <c r="AF74" s="64"/>
      <c r="AG74" s="64"/>
      <c r="AH74" s="64"/>
    </row>
    <row r="75" spans="1:34" hidden="1" x14ac:dyDescent="0.2">
      <c r="A75" s="64"/>
      <c r="B75" s="64"/>
      <c r="C75" s="64"/>
      <c r="D75" s="64"/>
      <c r="E75" s="64"/>
      <c r="F75" s="64"/>
      <c r="G75" s="64"/>
      <c r="H75" s="64"/>
      <c r="I75" s="64"/>
      <c r="J75" s="64"/>
      <c r="K75" s="64"/>
      <c r="L75" s="64"/>
      <c r="M75" s="64"/>
      <c r="N75" s="64"/>
      <c r="O75" s="64"/>
      <c r="P75" s="64"/>
      <c r="Q75" s="64"/>
      <c r="R75" s="64"/>
      <c r="S75" s="64"/>
      <c r="T75" s="64"/>
      <c r="U75" s="64"/>
      <c r="V75" s="64"/>
      <c r="W75" s="64"/>
      <c r="X75" s="64"/>
      <c r="Y75" s="64"/>
      <c r="Z75" s="64"/>
      <c r="AA75" s="64"/>
      <c r="AB75" s="64"/>
      <c r="AC75" s="64"/>
      <c r="AD75" s="64"/>
      <c r="AE75" s="64"/>
      <c r="AF75" s="64"/>
      <c r="AG75" s="64"/>
      <c r="AH75" s="64"/>
    </row>
    <row r="76" spans="1:34" hidden="1" x14ac:dyDescent="0.2"/>
    <row r="77" spans="1:34" hidden="1" x14ac:dyDescent="0.2"/>
    <row r="78" spans="1:34" hidden="1" x14ac:dyDescent="0.2"/>
    <row r="79" spans="1:34" hidden="1" x14ac:dyDescent="0.2"/>
    <row r="80" spans="1:34" hidden="1" x14ac:dyDescent="0.2"/>
    <row r="81" spans="2:32" hidden="1" x14ac:dyDescent="0.2"/>
    <row r="82" spans="2:32" hidden="1" x14ac:dyDescent="0.2"/>
    <row r="83" spans="2:32" hidden="1" x14ac:dyDescent="0.2"/>
    <row r="84" spans="2:32" hidden="1" x14ac:dyDescent="0.2">
      <c r="G84" s="14"/>
      <c r="H84" s="14"/>
      <c r="I84" s="14"/>
      <c r="J84" s="14"/>
      <c r="K84" s="14"/>
      <c r="L84" s="14"/>
      <c r="M84" s="14"/>
      <c r="N84" s="14"/>
      <c r="O84" s="14"/>
      <c r="P84" s="14"/>
      <c r="Q84" s="14"/>
      <c r="R84" s="14"/>
      <c r="S84" s="14"/>
      <c r="T84" s="14"/>
      <c r="U84" s="14"/>
      <c r="V84" s="14"/>
      <c r="W84" s="14"/>
      <c r="X84" s="14"/>
      <c r="Y84" s="14"/>
      <c r="Z84" s="14"/>
      <c r="AA84" s="14"/>
      <c r="AB84" s="14"/>
      <c r="AC84" s="14"/>
      <c r="AD84" s="14"/>
      <c r="AE84" s="14"/>
      <c r="AF84" s="14"/>
    </row>
    <row r="85" spans="2:32" hidden="1" x14ac:dyDescent="0.2">
      <c r="G85" s="14"/>
      <c r="H85" s="14"/>
      <c r="I85" s="14"/>
      <c r="J85" s="522"/>
      <c r="K85" s="522"/>
      <c r="L85" s="14"/>
      <c r="M85" s="14"/>
      <c r="N85" s="14"/>
      <c r="O85" s="14"/>
      <c r="P85" s="14"/>
      <c r="Q85" s="14"/>
      <c r="R85" s="14"/>
      <c r="S85" s="14"/>
      <c r="T85" s="14"/>
      <c r="U85" s="14"/>
      <c r="V85" s="14"/>
      <c r="W85" s="14"/>
      <c r="X85" s="14"/>
      <c r="Y85" s="14"/>
      <c r="Z85" s="14"/>
      <c r="AA85" s="14"/>
      <c r="AB85" s="14"/>
      <c r="AC85" s="14"/>
      <c r="AD85" s="14"/>
      <c r="AE85" s="14"/>
      <c r="AF85" s="14"/>
    </row>
    <row r="86" spans="2:32" hidden="1" x14ac:dyDescent="0.2">
      <c r="G86" s="14"/>
      <c r="H86" s="14"/>
      <c r="I86" s="14"/>
      <c r="J86" s="14"/>
      <c r="K86" s="14"/>
      <c r="L86" s="14"/>
      <c r="M86" s="14"/>
      <c r="N86" s="14"/>
      <c r="O86" s="14"/>
      <c r="P86" s="14"/>
      <c r="Q86" s="14"/>
      <c r="R86" s="14"/>
      <c r="S86" s="14"/>
      <c r="T86" s="14"/>
      <c r="U86" s="14"/>
      <c r="V86" s="14"/>
      <c r="W86" s="14"/>
      <c r="X86" s="14"/>
      <c r="Y86" s="14"/>
      <c r="Z86" s="14"/>
      <c r="AA86" s="14"/>
      <c r="AB86" s="14"/>
      <c r="AC86" s="14"/>
      <c r="AD86" s="14"/>
      <c r="AE86" s="14"/>
      <c r="AF86" s="14"/>
    </row>
    <row r="87" spans="2:32" hidden="1" x14ac:dyDescent="0.2">
      <c r="G87" s="14"/>
      <c r="H87" s="14"/>
      <c r="I87" s="14"/>
      <c r="J87" s="14"/>
      <c r="K87" s="14"/>
      <c r="L87" s="14"/>
      <c r="M87" s="14"/>
      <c r="N87" s="14"/>
      <c r="O87" s="14"/>
      <c r="P87" s="14"/>
      <c r="Q87" s="14"/>
      <c r="R87" s="14"/>
      <c r="S87" s="14"/>
      <c r="T87" s="14"/>
      <c r="U87" s="14"/>
      <c r="V87" s="14"/>
      <c r="W87" s="14"/>
      <c r="X87" s="14"/>
      <c r="Y87" s="14"/>
      <c r="Z87" s="14"/>
      <c r="AA87" s="14"/>
      <c r="AB87" s="14"/>
      <c r="AC87" s="14"/>
      <c r="AD87" s="14"/>
      <c r="AE87" s="14"/>
      <c r="AF87" s="14"/>
    </row>
    <row r="88" spans="2:32" hidden="1" x14ac:dyDescent="0.2">
      <c r="B88" s="14"/>
      <c r="C88" s="14"/>
      <c r="D88" s="14"/>
      <c r="E88" s="14"/>
      <c r="F88" s="14"/>
      <c r="G88" s="14"/>
      <c r="H88" s="14"/>
      <c r="I88" s="14"/>
      <c r="J88" s="14"/>
      <c r="K88" s="14"/>
      <c r="L88" s="14"/>
      <c r="M88" s="14"/>
      <c r="N88" s="14"/>
      <c r="O88" s="14"/>
      <c r="P88" s="14"/>
      <c r="Q88" s="14"/>
      <c r="R88" s="14"/>
      <c r="S88" s="14"/>
      <c r="T88" s="14"/>
      <c r="U88" s="14"/>
      <c r="V88" s="14"/>
      <c r="W88" s="14"/>
      <c r="X88" s="14"/>
      <c r="Y88" s="14"/>
      <c r="Z88" s="14"/>
      <c r="AA88" s="14"/>
      <c r="AB88" s="14"/>
      <c r="AC88" s="14"/>
      <c r="AD88" s="14"/>
      <c r="AE88" s="14"/>
      <c r="AF88" s="14"/>
    </row>
    <row r="89" spans="2:32" hidden="1" x14ac:dyDescent="0.2">
      <c r="B89" s="14"/>
      <c r="C89" s="14"/>
      <c r="D89" s="14"/>
      <c r="E89" s="14"/>
      <c r="F89" s="14"/>
      <c r="G89" s="14"/>
      <c r="H89" s="14"/>
      <c r="I89" s="14"/>
      <c r="J89" s="14"/>
      <c r="K89" s="14"/>
      <c r="L89" s="14"/>
      <c r="M89" s="14"/>
      <c r="N89" s="14"/>
      <c r="O89" s="14"/>
      <c r="P89" s="14"/>
      <c r="Q89" s="14"/>
      <c r="R89" s="14"/>
      <c r="S89" s="14"/>
      <c r="T89" s="14"/>
      <c r="U89" s="14"/>
      <c r="V89" s="14"/>
      <c r="W89" s="14"/>
      <c r="X89" s="14"/>
      <c r="Y89" s="14"/>
      <c r="Z89" s="14"/>
      <c r="AA89" s="14"/>
      <c r="AB89" s="14"/>
      <c r="AC89" s="14"/>
      <c r="AD89" s="14"/>
      <c r="AE89" s="14"/>
      <c r="AF89" s="14"/>
    </row>
    <row r="90" spans="2:32" hidden="1" x14ac:dyDescent="0.2">
      <c r="B90" s="14"/>
      <c r="C90" s="14"/>
      <c r="D90" s="14"/>
      <c r="E90" s="14"/>
      <c r="F90" s="14"/>
      <c r="G90" s="14"/>
      <c r="H90" s="14"/>
      <c r="I90" s="14"/>
      <c r="J90" s="14"/>
      <c r="K90" s="14"/>
      <c r="L90" s="14"/>
      <c r="M90" s="14"/>
      <c r="N90" s="14"/>
      <c r="O90" s="14"/>
      <c r="P90" s="14"/>
      <c r="Q90" s="14"/>
      <c r="R90" s="14"/>
      <c r="S90" s="14"/>
      <c r="T90" s="14"/>
      <c r="U90" s="14"/>
      <c r="V90" s="14"/>
      <c r="W90" s="14"/>
      <c r="X90" s="14"/>
      <c r="Y90" s="14"/>
      <c r="Z90" s="14"/>
      <c r="AA90" s="14"/>
      <c r="AB90" s="14"/>
      <c r="AC90" s="14"/>
      <c r="AD90" s="14"/>
      <c r="AE90" s="14"/>
      <c r="AF90" s="14"/>
    </row>
    <row r="91" spans="2:32" ht="7.5" hidden="1" customHeight="1" x14ac:dyDescent="0.2">
      <c r="G91" s="14"/>
      <c r="H91" s="14"/>
      <c r="I91" s="14"/>
      <c r="J91" s="14"/>
      <c r="K91" s="14"/>
      <c r="L91" s="14"/>
      <c r="M91" s="14"/>
      <c r="N91" s="14"/>
      <c r="O91" s="14"/>
      <c r="P91" s="14"/>
      <c r="Q91" s="14"/>
      <c r="R91" s="14"/>
      <c r="S91" s="14"/>
      <c r="T91" s="14"/>
      <c r="U91" s="14"/>
      <c r="V91" s="14"/>
      <c r="W91" s="14"/>
      <c r="X91" s="14"/>
      <c r="Y91" s="14"/>
      <c r="Z91" s="14"/>
      <c r="AA91" s="14"/>
      <c r="AB91" s="14"/>
      <c r="AC91" s="14"/>
      <c r="AD91" s="14"/>
      <c r="AE91" s="14"/>
      <c r="AF91" s="14"/>
    </row>
    <row r="92" spans="2:32" ht="63.75" hidden="1" customHeight="1" x14ac:dyDescent="0.2"/>
    <row r="93" spans="2:32" hidden="1" x14ac:dyDescent="0.2"/>
    <row r="94" spans="2:32" hidden="1" x14ac:dyDescent="0.2"/>
    <row r="95" spans="2:32" hidden="1" x14ac:dyDescent="0.2"/>
    <row r="96" spans="2:32" ht="12.75" hidden="1" customHeight="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spans="2:34" hidden="1" x14ac:dyDescent="0.2"/>
    <row r="114" spans="2:34" hidden="1" x14ac:dyDescent="0.2"/>
    <row r="115" spans="2:34" hidden="1" x14ac:dyDescent="0.2">
      <c r="B115" s="14"/>
      <c r="C115" s="14"/>
      <c r="D115" s="14"/>
      <c r="E115" s="14"/>
      <c r="F115" s="14"/>
      <c r="R115" s="28"/>
      <c r="S115" s="28"/>
      <c r="T115" s="28"/>
      <c r="U115" s="28"/>
      <c r="V115" s="28"/>
      <c r="W115" s="28"/>
      <c r="X115" s="28"/>
      <c r="Y115" s="28"/>
      <c r="Z115" s="28"/>
      <c r="AA115" s="28"/>
      <c r="AB115" s="28"/>
      <c r="AC115" s="28"/>
      <c r="AD115" s="28"/>
      <c r="AE115" s="28"/>
      <c r="AF115" s="28"/>
      <c r="AG115" s="28"/>
      <c r="AH115" s="28"/>
    </row>
    <row r="116" spans="2:34" hidden="1" x14ac:dyDescent="0.2">
      <c r="B116" s="14"/>
      <c r="C116" s="14"/>
      <c r="D116" s="14"/>
      <c r="E116" s="14"/>
      <c r="F116" s="14"/>
      <c r="R116" s="28"/>
      <c r="S116" s="28"/>
      <c r="T116" s="28"/>
      <c r="U116" s="28"/>
      <c r="V116" s="28"/>
      <c r="W116" s="28"/>
      <c r="X116" s="28"/>
      <c r="Y116" s="28"/>
      <c r="Z116" s="28"/>
      <c r="AA116" s="28"/>
      <c r="AB116" s="28"/>
      <c r="AC116" s="28"/>
      <c r="AD116" s="28"/>
      <c r="AE116" s="28"/>
      <c r="AF116" s="28"/>
      <c r="AG116" s="28"/>
      <c r="AH116" s="28"/>
    </row>
    <row r="117" spans="2:34" hidden="1" x14ac:dyDescent="0.2">
      <c r="B117" s="14"/>
      <c r="C117" s="14"/>
      <c r="D117" s="14"/>
      <c r="E117" s="14"/>
      <c r="F117" s="14"/>
      <c r="R117" s="28"/>
      <c r="S117" s="28"/>
      <c r="T117" s="28"/>
      <c r="U117" s="28"/>
      <c r="V117" s="28"/>
      <c r="W117" s="28"/>
      <c r="X117" s="28"/>
      <c r="Y117" s="28"/>
      <c r="Z117" s="28"/>
      <c r="AA117" s="28"/>
      <c r="AB117" s="28"/>
      <c r="AC117" s="28"/>
      <c r="AD117" s="28"/>
      <c r="AE117" s="28"/>
      <c r="AF117" s="28"/>
      <c r="AG117" s="28"/>
      <c r="AH117" s="28"/>
    </row>
    <row r="118" spans="2:34" hidden="1" x14ac:dyDescent="0.2">
      <c r="B118" s="14"/>
      <c r="C118" s="14"/>
      <c r="D118" s="14"/>
      <c r="E118" s="14"/>
      <c r="F118" s="14"/>
      <c r="R118" s="28"/>
      <c r="S118" s="28"/>
      <c r="T118" s="28"/>
      <c r="U118" s="28"/>
      <c r="V118" s="28"/>
      <c r="W118" s="28"/>
      <c r="X118" s="28"/>
      <c r="Y118" s="28"/>
      <c r="Z118" s="28"/>
      <c r="AA118" s="28"/>
      <c r="AB118" s="28"/>
      <c r="AC118" s="28"/>
      <c r="AD118" s="28"/>
      <c r="AE118" s="28"/>
      <c r="AF118" s="28"/>
      <c r="AG118" s="28"/>
      <c r="AH118" s="28"/>
    </row>
    <row r="119" spans="2:34" hidden="1" x14ac:dyDescent="0.2">
      <c r="B119" s="14"/>
      <c r="C119" s="14"/>
      <c r="D119" s="14"/>
      <c r="E119" s="14"/>
      <c r="F119" s="14"/>
      <c r="R119" s="28"/>
      <c r="S119" s="28"/>
      <c r="T119" s="28"/>
      <c r="U119" s="28"/>
      <c r="V119" s="28"/>
      <c r="W119" s="28"/>
      <c r="X119" s="28"/>
      <c r="Y119" s="28"/>
      <c r="Z119" s="28"/>
      <c r="AA119" s="28"/>
      <c r="AB119" s="28"/>
      <c r="AC119" s="28"/>
      <c r="AD119" s="28"/>
      <c r="AE119" s="28"/>
      <c r="AF119" s="28"/>
      <c r="AG119" s="28"/>
      <c r="AH119" s="28"/>
    </row>
    <row r="120" spans="2:34" hidden="1" x14ac:dyDescent="0.2">
      <c r="R120" s="28"/>
      <c r="S120" s="28"/>
      <c r="T120" s="28"/>
      <c r="U120" s="28"/>
      <c r="V120" s="28"/>
      <c r="W120" s="28"/>
      <c r="X120" s="28"/>
      <c r="Y120" s="28"/>
      <c r="Z120" s="28"/>
      <c r="AA120" s="28"/>
      <c r="AB120" s="28"/>
      <c r="AC120" s="28"/>
      <c r="AD120" s="28"/>
      <c r="AE120" s="28"/>
      <c r="AF120" s="28"/>
      <c r="AG120" s="28"/>
      <c r="AH120" s="28"/>
    </row>
    <row r="121" spans="2:34" hidden="1" x14ac:dyDescent="0.2">
      <c r="R121" s="28"/>
      <c r="S121" s="28"/>
      <c r="T121" s="28"/>
      <c r="U121" s="28"/>
      <c r="V121" s="28"/>
      <c r="W121" s="28"/>
      <c r="X121" s="28"/>
      <c r="Y121" s="28"/>
      <c r="Z121" s="28"/>
      <c r="AA121" s="28"/>
      <c r="AB121" s="28"/>
      <c r="AC121" s="28"/>
      <c r="AD121" s="28"/>
      <c r="AE121" s="28"/>
      <c r="AF121" s="28"/>
      <c r="AG121" s="28"/>
      <c r="AH121" s="28"/>
    </row>
    <row r="122" spans="2:34" hidden="1" x14ac:dyDescent="0.2">
      <c r="R122" s="28"/>
      <c r="S122" s="28"/>
      <c r="T122" s="28"/>
      <c r="U122" s="28"/>
      <c r="V122" s="28"/>
      <c r="W122" s="28"/>
      <c r="X122" s="28"/>
      <c r="Y122" s="28"/>
      <c r="Z122" s="28"/>
      <c r="AA122" s="28"/>
      <c r="AB122" s="28"/>
      <c r="AC122" s="28"/>
      <c r="AD122" s="28"/>
      <c r="AE122" s="28"/>
      <c r="AF122" s="28"/>
      <c r="AG122" s="28"/>
      <c r="AH122" s="28"/>
    </row>
    <row r="123" spans="2:34" hidden="1" x14ac:dyDescent="0.2">
      <c r="R123" s="28"/>
      <c r="S123" s="28"/>
      <c r="T123" s="28"/>
      <c r="U123" s="28"/>
      <c r="V123" s="28"/>
      <c r="W123" s="28"/>
      <c r="X123" s="28"/>
      <c r="Y123" s="28"/>
      <c r="Z123" s="28"/>
      <c r="AA123" s="28"/>
      <c r="AB123" s="28"/>
      <c r="AC123" s="28"/>
      <c r="AD123" s="28"/>
      <c r="AE123" s="28"/>
      <c r="AF123" s="28"/>
      <c r="AG123" s="28"/>
      <c r="AH123" s="28"/>
    </row>
    <row r="124" spans="2:34" hidden="1" x14ac:dyDescent="0.2">
      <c r="R124" s="28"/>
      <c r="S124" s="28"/>
      <c r="T124" s="28"/>
      <c r="U124" s="28"/>
      <c r="V124" s="28"/>
      <c r="W124" s="28"/>
      <c r="X124" s="28"/>
      <c r="Y124" s="28"/>
      <c r="Z124" s="28"/>
      <c r="AA124" s="28"/>
      <c r="AB124" s="28"/>
      <c r="AC124" s="28"/>
      <c r="AD124" s="28"/>
      <c r="AE124" s="28"/>
      <c r="AF124" s="28"/>
      <c r="AG124" s="28"/>
      <c r="AH124" s="28"/>
    </row>
    <row r="125" spans="2:34" hidden="1" x14ac:dyDescent="0.2">
      <c r="R125" s="28"/>
      <c r="S125" s="28"/>
      <c r="T125" s="28"/>
      <c r="U125" s="28"/>
      <c r="V125" s="28"/>
      <c r="W125" s="28"/>
      <c r="X125" s="28"/>
      <c r="Y125" s="28"/>
      <c r="Z125" s="28"/>
      <c r="AA125" s="28"/>
      <c r="AB125" s="28"/>
      <c r="AC125" s="28"/>
      <c r="AD125" s="28"/>
      <c r="AE125" s="28"/>
      <c r="AF125" s="28"/>
      <c r="AG125" s="28"/>
      <c r="AH125" s="28"/>
    </row>
    <row r="126" spans="2:34" hidden="1" x14ac:dyDescent="0.2">
      <c r="R126" s="28"/>
      <c r="S126" s="28"/>
      <c r="T126" s="28"/>
      <c r="U126" s="28"/>
      <c r="V126" s="28"/>
      <c r="W126" s="28"/>
      <c r="X126" s="28"/>
      <c r="Y126" s="28"/>
      <c r="Z126" s="28"/>
      <c r="AA126" s="28"/>
      <c r="AB126" s="28"/>
      <c r="AC126" s="28"/>
      <c r="AD126" s="28"/>
      <c r="AE126" s="28"/>
      <c r="AF126" s="28"/>
      <c r="AG126" s="28"/>
      <c r="AH126" s="28"/>
    </row>
    <row r="127" spans="2:34" hidden="1" x14ac:dyDescent="0.2">
      <c r="R127" s="28"/>
      <c r="S127" s="28"/>
      <c r="T127" s="28"/>
      <c r="U127" s="28"/>
      <c r="V127" s="28"/>
      <c r="W127" s="28"/>
      <c r="X127" s="28"/>
      <c r="Y127" s="28"/>
      <c r="Z127" s="28"/>
      <c r="AA127" s="28"/>
      <c r="AB127" s="28"/>
      <c r="AC127" s="28"/>
      <c r="AD127" s="28"/>
      <c r="AE127" s="28"/>
      <c r="AF127" s="28"/>
      <c r="AG127" s="28"/>
      <c r="AH127" s="28"/>
    </row>
    <row r="128" spans="2:34"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sheetData>
  <sheetProtection algorithmName="SHA-512" hashValue="W/R+smOXEoDgtEU3iChcEnb3eCoeLjliubbZYTjAhenqFxpq8Xk9JZxnTScHV6WRdATfOYH97zMiNvoqLdEOAw==" saltValue="W4aq4+Ff2gSSxxjDqoPK1A==" spinCount="100000" sheet="1" objects="1" scenarios="1"/>
  <mergeCells count="114">
    <mergeCell ref="AA2:AB2"/>
    <mergeCell ref="A1:K2"/>
    <mergeCell ref="V7:X8"/>
    <mergeCell ref="Y7:AA8"/>
    <mergeCell ref="AB7:AD8"/>
    <mergeCell ref="AE7:AG8"/>
    <mergeCell ref="S6:U7"/>
    <mergeCell ref="D24:E25"/>
    <mergeCell ref="B7:F8"/>
    <mergeCell ref="G7:J8"/>
    <mergeCell ref="AB5:AD5"/>
    <mergeCell ref="AB6:AD6"/>
    <mergeCell ref="AE5:AG5"/>
    <mergeCell ref="AE6:AG6"/>
    <mergeCell ref="S9:U9"/>
    <mergeCell ref="Y9:AA9"/>
    <mergeCell ref="S5:U5"/>
    <mergeCell ref="V5:X5"/>
    <mergeCell ref="V6:X6"/>
    <mergeCell ref="Y5:AA5"/>
    <mergeCell ref="Y6:AA6"/>
    <mergeCell ref="S8:U8"/>
    <mergeCell ref="AB13:AD13"/>
    <mergeCell ref="AB14:AD14"/>
    <mergeCell ref="J85:K85"/>
    <mergeCell ref="Y18:AA18"/>
    <mergeCell ref="Y20:AA20"/>
    <mergeCell ref="Y16:AA16"/>
    <mergeCell ref="Y10:AA10"/>
    <mergeCell ref="Y12:AA12"/>
    <mergeCell ref="Y14:AA14"/>
    <mergeCell ref="Y11:AA11"/>
    <mergeCell ref="Y13:AA13"/>
    <mergeCell ref="Y15:AA15"/>
    <mergeCell ref="Y17:AA17"/>
    <mergeCell ref="S19:U19"/>
    <mergeCell ref="S10:U10"/>
    <mergeCell ref="S11:U11"/>
    <mergeCell ref="S12:U12"/>
    <mergeCell ref="S13:U13"/>
    <mergeCell ref="S14:U14"/>
    <mergeCell ref="K31:N31"/>
    <mergeCell ref="K24:N24"/>
    <mergeCell ref="K32:L32"/>
    <mergeCell ref="M32:N32"/>
    <mergeCell ref="K27:L27"/>
    <mergeCell ref="K25:L25"/>
    <mergeCell ref="M25:N25"/>
    <mergeCell ref="AB17:AD17"/>
    <mergeCell ref="AB18:AD18"/>
    <mergeCell ref="AB19:AD19"/>
    <mergeCell ref="S20:U20"/>
    <mergeCell ref="V9:X9"/>
    <mergeCell ref="V10:X10"/>
    <mergeCell ref="V11:X11"/>
    <mergeCell ref="V12:X12"/>
    <mergeCell ref="V13:X13"/>
    <mergeCell ref="V14:X14"/>
    <mergeCell ref="V15:X15"/>
    <mergeCell ref="V16:X16"/>
    <mergeCell ref="V17:X17"/>
    <mergeCell ref="V18:X18"/>
    <mergeCell ref="V19:X19"/>
    <mergeCell ref="V20:X20"/>
    <mergeCell ref="S15:U15"/>
    <mergeCell ref="S16:U16"/>
    <mergeCell ref="S17:U17"/>
    <mergeCell ref="S18:U18"/>
    <mergeCell ref="G25:H26"/>
    <mergeCell ref="I25:J26"/>
    <mergeCell ref="G24:J24"/>
    <mergeCell ref="AB20:AD20"/>
    <mergeCell ref="AE9:AG9"/>
    <mergeCell ref="AE10:AG10"/>
    <mergeCell ref="AE11:AG11"/>
    <mergeCell ref="AE12:AG12"/>
    <mergeCell ref="AE13:AG13"/>
    <mergeCell ref="AE14:AG14"/>
    <mergeCell ref="AE15:AG15"/>
    <mergeCell ref="AE16:AG16"/>
    <mergeCell ref="AE17:AG17"/>
    <mergeCell ref="AE18:AG18"/>
    <mergeCell ref="AE19:AG19"/>
    <mergeCell ref="AE20:AG20"/>
    <mergeCell ref="Y19:AA19"/>
    <mergeCell ref="AB9:AD9"/>
    <mergeCell ref="AB10:AD10"/>
    <mergeCell ref="AB11:AD11"/>
    <mergeCell ref="AB12:AD12"/>
    <mergeCell ref="K26:N26"/>
    <mergeCell ref="AB15:AD15"/>
    <mergeCell ref="AB16:AD16"/>
    <mergeCell ref="B49:N50"/>
    <mergeCell ref="M27:N27"/>
    <mergeCell ref="M28:N28"/>
    <mergeCell ref="M29:N29"/>
    <mergeCell ref="K28:L28"/>
    <mergeCell ref="K29:L29"/>
    <mergeCell ref="G34:H34"/>
    <mergeCell ref="G35:H35"/>
    <mergeCell ref="G36:H36"/>
    <mergeCell ref="I34:J34"/>
    <mergeCell ref="I35:J35"/>
    <mergeCell ref="I36:J36"/>
    <mergeCell ref="G28:H28"/>
    <mergeCell ref="G29:H29"/>
    <mergeCell ref="I27:J27"/>
    <mergeCell ref="I28:J28"/>
    <mergeCell ref="I29:J29"/>
    <mergeCell ref="G31:J31"/>
    <mergeCell ref="G32:H33"/>
    <mergeCell ref="I32:J33"/>
    <mergeCell ref="G27:H27"/>
    <mergeCell ref="B42:O48"/>
  </mergeCells>
  <conditionalFormatting sqref="S9:U20">
    <cfRule type="dataBar" priority="8">
      <dataBar>
        <cfvo type="num" val="-0.35"/>
        <cfvo type="num" val="1"/>
        <color rgb="FF008AEF"/>
      </dataBar>
      <extLst>
        <ext xmlns:x14="http://schemas.microsoft.com/office/spreadsheetml/2009/9/main" uri="{B025F937-C7B1-47D3-B67F-A62EFF666E3E}">
          <x14:id>{6A836625-6A79-4947-9ECA-DCFAD0B8603D}</x14:id>
        </ext>
      </extLst>
    </cfRule>
  </conditionalFormatting>
  <conditionalFormatting sqref="Y9:AA20">
    <cfRule type="dataBar" priority="6">
      <dataBar>
        <cfvo type="num" val="-0.35"/>
        <cfvo type="num" val="1"/>
        <color rgb="FF008AEF"/>
      </dataBar>
      <extLst>
        <ext xmlns:x14="http://schemas.microsoft.com/office/spreadsheetml/2009/9/main" uri="{B025F937-C7B1-47D3-B67F-A62EFF666E3E}">
          <x14:id>{5289BB28-C2F4-4BE7-84DA-B175D86586AB}</x14:id>
        </ext>
      </extLst>
    </cfRule>
  </conditionalFormatting>
  <conditionalFormatting sqref="AE9:AG20">
    <cfRule type="dataBar" priority="5">
      <dataBar>
        <cfvo type="num" val="-0.35"/>
        <cfvo type="num" val="1"/>
        <color rgb="FF008AEF"/>
      </dataBar>
      <extLst>
        <ext xmlns:x14="http://schemas.microsoft.com/office/spreadsheetml/2009/9/main" uri="{B025F937-C7B1-47D3-B67F-A62EFF666E3E}">
          <x14:id>{CA912430-6647-4093-8863-A42D0A66392C}</x14:id>
        </ext>
      </extLst>
    </cfRule>
  </conditionalFormatting>
  <conditionalFormatting sqref="V9:X20">
    <cfRule type="dataBar" priority="2">
      <dataBar>
        <cfvo type="num" val="-0.35"/>
        <cfvo type="num" val="1"/>
        <color rgb="FF008AEF"/>
      </dataBar>
      <extLst>
        <ext xmlns:x14="http://schemas.microsoft.com/office/spreadsheetml/2009/9/main" uri="{B025F937-C7B1-47D3-B67F-A62EFF666E3E}">
          <x14:id>{6B994DF1-5964-4FE4-8A5D-CC4D63A63437}</x14:id>
        </ext>
      </extLst>
    </cfRule>
  </conditionalFormatting>
  <conditionalFormatting sqref="AB9:AD20">
    <cfRule type="dataBar" priority="1">
      <dataBar>
        <cfvo type="num" val="-700"/>
        <cfvo type="max"/>
        <color rgb="FF008AEF"/>
      </dataBar>
      <extLst>
        <ext xmlns:x14="http://schemas.microsoft.com/office/spreadsheetml/2009/9/main" uri="{B025F937-C7B1-47D3-B67F-A62EFF666E3E}">
          <x14:id>{6886C163-41E4-4C68-A62F-31887ED2F62F}</x14:id>
        </ext>
      </extLst>
    </cfRule>
  </conditionalFormatting>
  <hyperlinks>
    <hyperlink ref="AG25" location="'Codes and Specs Data'!A1" display="Data"/>
  </hyperlinks>
  <pageMargins left="0.7" right="0.7" top="0.75" bottom="0.75" header="0.3" footer="0.3"/>
  <pageSetup orientation="portrait" horizontalDpi="300" r:id="rId1"/>
  <drawing r:id="rId2"/>
  <legacyDrawing r:id="rId3"/>
  <mc:AlternateContent xmlns:mc="http://schemas.openxmlformats.org/markup-compatibility/2006">
    <mc:Choice Requires="x14">
      <controls>
        <mc:AlternateContent xmlns:mc="http://schemas.openxmlformats.org/markup-compatibility/2006">
          <mc:Choice Requires="x14">
            <control shapeId="4694" r:id="rId4" name="Drop Down 598">
              <controlPr defaultSize="0" autoLine="0" autoPict="0">
                <anchor moveWithCells="1">
                  <from>
                    <xdr:col>16</xdr:col>
                    <xdr:colOff>76200</xdr:colOff>
                    <xdr:row>23</xdr:row>
                    <xdr:rowOff>66675</xdr:rowOff>
                  </from>
                  <to>
                    <xdr:col>22</xdr:col>
                    <xdr:colOff>57150</xdr:colOff>
                    <xdr:row>24</xdr:row>
                    <xdr:rowOff>95250</xdr:rowOff>
                  </to>
                </anchor>
              </controlPr>
            </control>
          </mc:Choice>
        </mc:AlternateContent>
        <mc:AlternateContent xmlns:mc="http://schemas.openxmlformats.org/markup-compatibility/2006">
          <mc:Choice Requires="x14">
            <control shapeId="17641" r:id="rId5" name="Drop Down 1257">
              <controlPr defaultSize="0" autoLine="0" autoPict="0">
                <anchor moveWithCells="1">
                  <from>
                    <xdr:col>1</xdr:col>
                    <xdr:colOff>66675</xdr:colOff>
                    <xdr:row>23</xdr:row>
                    <xdr:rowOff>76200</xdr:rowOff>
                  </from>
                  <to>
                    <xdr:col>3</xdr:col>
                    <xdr:colOff>0</xdr:colOff>
                    <xdr:row>24</xdr:row>
                    <xdr:rowOff>104775</xdr:rowOff>
                  </to>
                </anchor>
              </controlPr>
            </control>
          </mc:Choice>
        </mc:AlternateContent>
        <mc:AlternateContent xmlns:mc="http://schemas.openxmlformats.org/markup-compatibility/2006">
          <mc:Choice Requires="x14">
            <control shapeId="17642" r:id="rId6" name="Drop Down 1258">
              <controlPr defaultSize="0" autoLine="0" autoPict="0">
                <anchor moveWithCells="1">
                  <from>
                    <xdr:col>18</xdr:col>
                    <xdr:colOff>66675</xdr:colOff>
                    <xdr:row>5</xdr:row>
                    <xdr:rowOff>47625</xdr:rowOff>
                  </from>
                  <to>
                    <xdr:col>20</xdr:col>
                    <xdr:colOff>304800</xdr:colOff>
                    <xdr:row>6</xdr:row>
                    <xdr:rowOff>85725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dataBar" id="{6A836625-6A79-4947-9ECA-DCFAD0B8603D}">
            <x14:dataBar minLength="0" maxLength="100" gradient="0">
              <x14:cfvo type="num">
                <xm:f>-0.35</xm:f>
              </x14:cfvo>
              <x14:cfvo type="num">
                <xm:f>1</xm:f>
              </x14:cfvo>
              <x14:negativeFillColor rgb="FFFF0000"/>
              <x14:axisColor theme="0" tint="-0.14999847407452621"/>
            </x14:dataBar>
          </x14:cfRule>
          <xm:sqref>S9:U20</xm:sqref>
        </x14:conditionalFormatting>
        <x14:conditionalFormatting xmlns:xm="http://schemas.microsoft.com/office/excel/2006/main">
          <x14:cfRule type="dataBar" id="{5289BB28-C2F4-4BE7-84DA-B175D86586AB}">
            <x14:dataBar minLength="0" maxLength="100" gradient="0">
              <x14:cfvo type="num">
                <xm:f>-0.35</xm:f>
              </x14:cfvo>
              <x14:cfvo type="num">
                <xm:f>1</xm:f>
              </x14:cfvo>
              <x14:negativeFillColor rgb="FFFF0000"/>
              <x14:axisColor theme="0" tint="-0.14999847407452621"/>
            </x14:dataBar>
          </x14:cfRule>
          <xm:sqref>Y9:AA20</xm:sqref>
        </x14:conditionalFormatting>
        <x14:conditionalFormatting xmlns:xm="http://schemas.microsoft.com/office/excel/2006/main">
          <x14:cfRule type="dataBar" id="{CA912430-6647-4093-8863-A42D0A66392C}">
            <x14:dataBar minLength="0" maxLength="100" gradient="0">
              <x14:cfvo type="num">
                <xm:f>-0.35</xm:f>
              </x14:cfvo>
              <x14:cfvo type="num">
                <xm:f>1</xm:f>
              </x14:cfvo>
              <x14:negativeFillColor rgb="FFFF0000"/>
              <x14:axisColor theme="0" tint="-0.14999847407452621"/>
            </x14:dataBar>
          </x14:cfRule>
          <xm:sqref>AE9:AG20</xm:sqref>
        </x14:conditionalFormatting>
        <x14:conditionalFormatting xmlns:xm="http://schemas.microsoft.com/office/excel/2006/main">
          <x14:cfRule type="dataBar" id="{6B994DF1-5964-4FE4-8A5D-CC4D63A63437}">
            <x14:dataBar minLength="0" maxLength="100" gradient="0">
              <x14:cfvo type="num">
                <xm:f>-0.35</xm:f>
              </x14:cfvo>
              <x14:cfvo type="num">
                <xm:f>1</xm:f>
              </x14:cfvo>
              <x14:negativeFillColor rgb="FFFF0000"/>
              <x14:axisColor theme="0" tint="-0.14999847407452621"/>
            </x14:dataBar>
          </x14:cfRule>
          <xm:sqref>V9:X20</xm:sqref>
        </x14:conditionalFormatting>
        <x14:conditionalFormatting xmlns:xm="http://schemas.microsoft.com/office/excel/2006/main">
          <x14:cfRule type="dataBar" id="{6886C163-41E4-4C68-A62F-31887ED2F62F}">
            <x14:dataBar minLength="0" maxLength="100" gradient="0">
              <x14:cfvo type="num">
                <xm:f>-700</xm:f>
              </x14:cfvo>
              <x14:cfvo type="max"/>
              <x14:negativeFillColor rgb="FFFF0000"/>
              <x14:axisColor theme="0" tint="-0.14999847407452621"/>
            </x14:dataBar>
          </x14:cfRule>
          <xm:sqref>AB9:AD20</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9CCFF"/>
  </sheetPr>
  <dimension ref="A1:K113"/>
  <sheetViews>
    <sheetView showGridLines="0" zoomScaleNormal="100" workbookViewId="0">
      <selection activeCell="A108" sqref="A108:F108"/>
    </sheetView>
  </sheetViews>
  <sheetFormatPr defaultRowHeight="12.75" x14ac:dyDescent="0.2"/>
  <cols>
    <col min="1" max="3" width="37.5703125" customWidth="1"/>
    <col min="4" max="4" width="38" customWidth="1"/>
    <col min="5" max="6" width="37.5703125" customWidth="1"/>
    <col min="7" max="7" width="25.28515625" customWidth="1"/>
    <col min="8" max="10" width="10.7109375" customWidth="1"/>
    <col min="11" max="11" width="10.7109375" style="11" customWidth="1"/>
    <col min="12" max="12" width="10.7109375" customWidth="1"/>
  </cols>
  <sheetData>
    <row r="1" spans="1:11" s="29" customFormat="1" ht="15.75" x14ac:dyDescent="0.25">
      <c r="A1" s="545" t="s">
        <v>560</v>
      </c>
      <c r="B1" s="545"/>
      <c r="C1" s="545"/>
      <c r="D1" s="545"/>
      <c r="E1" s="545"/>
      <c r="F1" s="545"/>
      <c r="K1" s="11"/>
    </row>
    <row r="2" spans="1:11" s="29" customFormat="1" x14ac:dyDescent="0.2">
      <c r="A2" s="546" t="s">
        <v>649</v>
      </c>
      <c r="B2" s="546"/>
      <c r="C2" s="546"/>
      <c r="D2" s="546"/>
      <c r="E2" s="546" t="s">
        <v>657</v>
      </c>
      <c r="F2" s="546"/>
      <c r="K2" s="11"/>
    </row>
    <row r="3" spans="1:11" s="29" customFormat="1" ht="16.5" customHeight="1" x14ac:dyDescent="0.2">
      <c r="A3" s="488" t="s">
        <v>577</v>
      </c>
      <c r="B3" s="488" t="s">
        <v>614</v>
      </c>
      <c r="C3" s="488" t="s">
        <v>578</v>
      </c>
      <c r="D3" s="489" t="s">
        <v>606</v>
      </c>
      <c r="E3" s="552" t="s">
        <v>682</v>
      </c>
      <c r="F3" s="552"/>
      <c r="G3" s="413"/>
      <c r="K3" s="11"/>
    </row>
    <row r="4" spans="1:11" s="29" customFormat="1" ht="15" customHeight="1" x14ac:dyDescent="0.2">
      <c r="A4" s="411" t="s">
        <v>582</v>
      </c>
      <c r="B4" s="412" t="s">
        <v>656</v>
      </c>
      <c r="C4" s="551" t="s">
        <v>608</v>
      </c>
      <c r="D4" s="551" t="s">
        <v>611</v>
      </c>
      <c r="E4" s="550" t="s">
        <v>609</v>
      </c>
      <c r="F4" s="550"/>
      <c r="G4" s="66"/>
      <c r="H4" s="66"/>
      <c r="K4" s="11"/>
    </row>
    <row r="5" spans="1:11" s="29" customFormat="1" ht="15" customHeight="1" x14ac:dyDescent="0.2">
      <c r="A5" s="136" t="s">
        <v>580</v>
      </c>
      <c r="B5" s="416" t="s">
        <v>654</v>
      </c>
      <c r="C5" s="551"/>
      <c r="D5" s="551"/>
      <c r="E5" s="550"/>
      <c r="F5" s="550"/>
      <c r="K5" s="11"/>
    </row>
    <row r="6" spans="1:11" s="29" customFormat="1" ht="15" customHeight="1" x14ac:dyDescent="0.2">
      <c r="A6" s="136" t="s">
        <v>579</v>
      </c>
      <c r="B6" s="415" t="s">
        <v>648</v>
      </c>
      <c r="C6" s="547" t="s">
        <v>607</v>
      </c>
      <c r="D6" s="411" t="s">
        <v>612</v>
      </c>
      <c r="E6" s="564" t="s">
        <v>616</v>
      </c>
      <c r="F6" s="564"/>
      <c r="K6" s="11"/>
    </row>
    <row r="7" spans="1:11" s="29" customFormat="1" ht="15" customHeight="1" x14ac:dyDescent="0.2">
      <c r="A7" s="414" t="s">
        <v>581</v>
      </c>
      <c r="B7" s="416" t="s">
        <v>655</v>
      </c>
      <c r="C7" s="547"/>
      <c r="D7" s="411" t="s">
        <v>613</v>
      </c>
      <c r="E7" s="564"/>
      <c r="F7" s="564"/>
      <c r="K7" s="11"/>
    </row>
    <row r="8" spans="1:11" s="29" customFormat="1" ht="15" customHeight="1" x14ac:dyDescent="0.2">
      <c r="A8" s="414" t="s">
        <v>583</v>
      </c>
      <c r="B8" s="415" t="s">
        <v>584</v>
      </c>
      <c r="C8" s="411"/>
      <c r="D8" s="411"/>
      <c r="E8" s="562" t="s">
        <v>683</v>
      </c>
      <c r="F8" s="562"/>
      <c r="K8" s="11"/>
    </row>
    <row r="9" spans="1:11" s="29" customFormat="1" ht="15" customHeight="1" x14ac:dyDescent="0.2">
      <c r="A9" s="420" t="s">
        <v>617</v>
      </c>
      <c r="B9" s="420" t="s">
        <v>617</v>
      </c>
      <c r="C9" s="420" t="s">
        <v>619</v>
      </c>
      <c r="D9" s="421" t="s">
        <v>618</v>
      </c>
      <c r="E9" s="550" t="s">
        <v>530</v>
      </c>
      <c r="F9" s="550"/>
      <c r="K9" s="11"/>
    </row>
    <row r="10" spans="1:11" s="29" customFormat="1" ht="15" customHeight="1" thickBot="1" x14ac:dyDescent="0.25">
      <c r="A10" s="417"/>
      <c r="B10" s="411"/>
      <c r="C10" s="411"/>
      <c r="D10" s="411"/>
      <c r="E10" s="550"/>
      <c r="F10" s="550"/>
      <c r="K10" s="11"/>
    </row>
    <row r="11" spans="1:11" s="29" customFormat="1" ht="15" customHeight="1" x14ac:dyDescent="0.2">
      <c r="A11" s="423"/>
      <c r="B11" s="424"/>
      <c r="C11" s="424"/>
      <c r="D11" s="425"/>
      <c r="E11" s="563" t="s">
        <v>531</v>
      </c>
      <c r="F11" s="564"/>
      <c r="K11" s="11"/>
    </row>
    <row r="12" spans="1:11" s="29" customFormat="1" ht="15" customHeight="1" x14ac:dyDescent="0.2">
      <c r="A12" s="426"/>
      <c r="B12" s="427"/>
      <c r="C12" s="427"/>
      <c r="D12" s="428"/>
      <c r="E12" s="563"/>
      <c r="F12" s="564"/>
      <c r="K12" s="11"/>
    </row>
    <row r="13" spans="1:11" s="29" customFormat="1" ht="15" customHeight="1" x14ac:dyDescent="0.2">
      <c r="A13" s="426"/>
      <c r="B13" s="427"/>
      <c r="C13" s="427"/>
      <c r="D13" s="428"/>
      <c r="E13" s="562" t="s">
        <v>685</v>
      </c>
      <c r="F13" s="562"/>
      <c r="K13" s="11"/>
    </row>
    <row r="14" spans="1:11" s="29" customFormat="1" ht="15" customHeight="1" x14ac:dyDescent="0.2">
      <c r="A14" s="426"/>
      <c r="B14" s="427"/>
      <c r="C14" s="427"/>
      <c r="D14" s="428"/>
      <c r="E14" s="549" t="s">
        <v>610</v>
      </c>
      <c r="F14" s="550"/>
      <c r="K14" s="11"/>
    </row>
    <row r="15" spans="1:11" s="29" customFormat="1" ht="15" customHeight="1" x14ac:dyDescent="0.2">
      <c r="A15" s="426"/>
      <c r="B15" s="427"/>
      <c r="C15" s="427"/>
      <c r="D15" s="428"/>
      <c r="E15" s="549"/>
      <c r="F15" s="550"/>
      <c r="K15" s="11"/>
    </row>
    <row r="16" spans="1:11" s="29" customFormat="1" ht="15" customHeight="1" x14ac:dyDescent="0.2">
      <c r="A16" s="426"/>
      <c r="B16" s="427"/>
      <c r="C16" s="427"/>
      <c r="D16" s="428"/>
      <c r="E16" s="563" t="s">
        <v>667</v>
      </c>
      <c r="F16" s="564"/>
      <c r="K16" s="11"/>
    </row>
    <row r="17" spans="1:11" s="29" customFormat="1" ht="15" customHeight="1" x14ac:dyDescent="0.2">
      <c r="A17" s="426"/>
      <c r="B17" s="427"/>
      <c r="C17" s="427"/>
      <c r="D17" s="428"/>
      <c r="E17" s="563"/>
      <c r="F17" s="564"/>
      <c r="K17" s="11"/>
    </row>
    <row r="18" spans="1:11" s="29" customFormat="1" ht="15" customHeight="1" x14ac:dyDescent="0.2">
      <c r="A18" s="426"/>
      <c r="B18" s="427"/>
      <c r="C18" s="427"/>
      <c r="D18" s="428"/>
      <c r="E18" s="562" t="s">
        <v>684</v>
      </c>
      <c r="F18" s="562"/>
      <c r="K18" s="11"/>
    </row>
    <row r="19" spans="1:11" s="29" customFormat="1" ht="15" customHeight="1" x14ac:dyDescent="0.2">
      <c r="A19" s="426"/>
      <c r="B19" s="427"/>
      <c r="C19" s="427"/>
      <c r="D19" s="428"/>
      <c r="E19" s="549" t="s">
        <v>529</v>
      </c>
      <c r="F19" s="550"/>
      <c r="K19" s="11"/>
    </row>
    <row r="20" spans="1:11" s="29" customFormat="1" ht="15" customHeight="1" x14ac:dyDescent="0.2">
      <c r="A20" s="426"/>
      <c r="B20" s="427"/>
      <c r="C20" s="427"/>
      <c r="D20" s="428"/>
      <c r="E20" s="549"/>
      <c r="F20" s="550"/>
      <c r="K20" s="11"/>
    </row>
    <row r="21" spans="1:11" s="29" customFormat="1" ht="15" customHeight="1" x14ac:dyDescent="0.2">
      <c r="A21" s="426"/>
      <c r="B21" s="427"/>
      <c r="C21" s="427"/>
      <c r="D21" s="428"/>
      <c r="E21" s="549" t="s">
        <v>713</v>
      </c>
      <c r="F21" s="549"/>
      <c r="K21" s="11"/>
    </row>
    <row r="22" spans="1:11" s="29" customFormat="1" ht="15" customHeight="1" x14ac:dyDescent="0.2">
      <c r="A22" s="426"/>
      <c r="B22" s="427"/>
      <c r="C22" s="427"/>
      <c r="D22" s="428"/>
      <c r="E22" s="549"/>
      <c r="F22" s="549"/>
      <c r="K22" s="11"/>
    </row>
    <row r="23" spans="1:11" s="29" customFormat="1" ht="15" customHeight="1" x14ac:dyDescent="0.2">
      <c r="A23" s="426"/>
      <c r="B23" s="427"/>
      <c r="C23" s="427"/>
      <c r="D23" s="428"/>
      <c r="E23" s="549"/>
      <c r="F23" s="549"/>
      <c r="G23" s="421"/>
      <c r="K23" s="11"/>
    </row>
    <row r="24" spans="1:11" s="29" customFormat="1" ht="15" customHeight="1" x14ac:dyDescent="0.2">
      <c r="A24" s="426"/>
      <c r="B24" s="427"/>
      <c r="C24" s="427"/>
      <c r="D24" s="428"/>
      <c r="E24" s="490" t="s">
        <v>528</v>
      </c>
      <c r="F24" s="467"/>
      <c r="K24" s="11"/>
    </row>
    <row r="25" spans="1:11" s="29" customFormat="1" ht="15" customHeight="1" x14ac:dyDescent="0.2">
      <c r="A25" s="426"/>
      <c r="B25" s="427"/>
      <c r="C25" s="427"/>
      <c r="D25" s="428"/>
      <c r="F25" s="419"/>
      <c r="K25" s="11"/>
    </row>
    <row r="26" spans="1:11" s="29" customFormat="1" ht="15" customHeight="1" thickBot="1" x14ac:dyDescent="0.25">
      <c r="A26" s="429"/>
      <c r="B26" s="430"/>
      <c r="C26" s="430"/>
      <c r="D26" s="431"/>
      <c r="F26" s="419"/>
      <c r="K26" s="11"/>
    </row>
    <row r="27" spans="1:11" s="29" customFormat="1" x14ac:dyDescent="0.2">
      <c r="A27" s="419"/>
      <c r="F27" s="419"/>
      <c r="K27" s="11"/>
    </row>
    <row r="28" spans="1:11" ht="15.75" customHeight="1" x14ac:dyDescent="0.25">
      <c r="A28" s="545" t="s">
        <v>575</v>
      </c>
      <c r="B28" s="545"/>
      <c r="C28" s="545"/>
      <c r="D28" s="545"/>
      <c r="E28" s="545"/>
      <c r="F28" s="545"/>
    </row>
    <row r="29" spans="1:11" ht="13.5" customHeight="1" x14ac:dyDescent="0.2">
      <c r="A29" s="408" t="s">
        <v>661</v>
      </c>
      <c r="B29" s="409"/>
      <c r="C29" s="409"/>
      <c r="D29" s="409"/>
      <c r="E29" s="409"/>
      <c r="F29" s="409"/>
    </row>
    <row r="30" spans="1:11" ht="13.5" customHeight="1" x14ac:dyDescent="0.2">
      <c r="A30" s="410" t="s">
        <v>564</v>
      </c>
      <c r="B30" s="405">
        <f>COUNTIF('Existing Program Data'!D:D,1)</f>
        <v>63</v>
      </c>
    </row>
    <row r="31" spans="1:11" ht="13.5" customHeight="1" x14ac:dyDescent="0.2">
      <c r="A31" s="479"/>
      <c r="B31" s="476" t="s">
        <v>547</v>
      </c>
      <c r="C31" s="476" t="s">
        <v>544</v>
      </c>
      <c r="D31" s="476" t="s">
        <v>576</v>
      </c>
      <c r="E31" s="7"/>
    </row>
    <row r="32" spans="1:11" s="29" customFormat="1" ht="13.5" customHeight="1" x14ac:dyDescent="0.2">
      <c r="A32" s="472" t="s">
        <v>534</v>
      </c>
      <c r="B32" s="480">
        <f>SUMIF('Existing Program Data'!R:R,1)</f>
        <v>18</v>
      </c>
      <c r="C32" s="481">
        <f>SUM(AVERAGE('Existing Program Data'!S:S),AVERAGE('Existing Program Data'!U:U))/2</f>
        <v>2.1714285714285717</v>
      </c>
      <c r="D32" s="482">
        <f>SUM(AVERAGE('Existing Program Data'!T:T),AVERAGE('Existing Program Data'!V:V))/2</f>
        <v>694.16666666666663</v>
      </c>
      <c r="E32" s="7"/>
      <c r="K32" s="11"/>
    </row>
    <row r="33" spans="1:11" s="29" customFormat="1" ht="13.5" customHeight="1" x14ac:dyDescent="0.2">
      <c r="A33" s="472" t="s">
        <v>532</v>
      </c>
      <c r="B33" s="480">
        <f>SUMIF('Existing Program Data'!E:E,1)</f>
        <v>46</v>
      </c>
      <c r="C33" s="481">
        <f>SUM(AVERAGE('Existing Program Data'!F:F),AVERAGE('Existing Program Data'!H:H),AVERAGE('Existing Program Data'!J:J))/3</f>
        <v>0.72503703703703726</v>
      </c>
      <c r="D33" s="482">
        <f>SUM(AVERAGE('Existing Program Data'!G:G),AVERAGE('Existing Program Data'!I:I),AVERAGE('Existing Program Data'!K:K))/3</f>
        <v>223.83091787439614</v>
      </c>
      <c r="E33" s="7"/>
      <c r="K33" s="11"/>
    </row>
    <row r="34" spans="1:11" s="29" customFormat="1" ht="13.5" customHeight="1" x14ac:dyDescent="0.2">
      <c r="A34" s="472" t="s">
        <v>533</v>
      </c>
      <c r="B34" s="480">
        <f>SUMIF('Existing Program Data'!M:M,1)</f>
        <v>44</v>
      </c>
      <c r="C34" s="481">
        <f>SUM(AVERAGE('Existing Program Data'!N:N),AVERAGE('Existing Program Data'!P:P))/2</f>
        <v>0.8724025974025974</v>
      </c>
      <c r="D34" s="482">
        <f>SUM(AVERAGE('Existing Program Data'!O:O),AVERAGE('Existing Program Data'!Q:Q))/2</f>
        <v>452.24837662337666</v>
      </c>
      <c r="E34" s="7"/>
      <c r="K34" s="11"/>
    </row>
    <row r="35" spans="1:11" ht="13.5" customHeight="1" x14ac:dyDescent="0.2">
      <c r="A35" s="472" t="s">
        <v>536</v>
      </c>
      <c r="B35" s="480">
        <f>SUMIF('Existing Program Data'!Z:Z,1)</f>
        <v>4</v>
      </c>
      <c r="C35" s="481">
        <f>AVERAGE('Existing Program Data'!AA:AA)</f>
        <v>0.9</v>
      </c>
      <c r="D35" s="482">
        <f>AVERAGE('Existing Program Data'!AB:AB)</f>
        <v>275</v>
      </c>
    </row>
    <row r="36" spans="1:11" ht="13.5" customHeight="1" x14ac:dyDescent="0.2">
      <c r="A36" s="472" t="s">
        <v>31</v>
      </c>
      <c r="B36" s="480">
        <f>SUMIF('Existing Program Data'!AC:AC,1)</f>
        <v>6</v>
      </c>
      <c r="C36" s="483" t="s">
        <v>545</v>
      </c>
      <c r="D36" s="482">
        <f>AVERAGE('Existing Program Data'!AE:AE)</f>
        <v>1994.8333333333333</v>
      </c>
    </row>
    <row r="37" spans="1:11" ht="13.5" customHeight="1" x14ac:dyDescent="0.2">
      <c r="A37" s="472" t="s">
        <v>535</v>
      </c>
      <c r="B37" s="480">
        <f>SUMIF('Existing Program Data'!W:W,1)</f>
        <v>12</v>
      </c>
      <c r="C37" s="484">
        <f>AVERAGE('Existing Program Data'!X:X)</f>
        <v>0.84800000000000009</v>
      </c>
      <c r="D37" s="482">
        <f>AVERAGE('Existing Program Data'!Y:Y)</f>
        <v>327.91666666666669</v>
      </c>
      <c r="E37" s="29"/>
      <c r="F37" s="29"/>
      <c r="G37" s="29"/>
      <c r="H37" s="29"/>
      <c r="I37" s="29"/>
      <c r="J37" s="29"/>
    </row>
    <row r="38" spans="1:11" s="29" customFormat="1" ht="13.5" customHeight="1" x14ac:dyDescent="0.2"/>
    <row r="39" spans="1:11" s="29" customFormat="1" ht="13.5" customHeight="1" x14ac:dyDescent="0.2">
      <c r="A39" s="7" t="s">
        <v>557</v>
      </c>
      <c r="K39" s="11"/>
    </row>
    <row r="40" spans="1:11" s="29" customFormat="1" ht="13.5" customHeight="1" x14ac:dyDescent="0.2">
      <c r="A40" s="485" t="s">
        <v>567</v>
      </c>
      <c r="B40" s="486" t="s">
        <v>569</v>
      </c>
      <c r="C40" s="487"/>
      <c r="K40" s="11"/>
    </row>
    <row r="41" spans="1:11" s="29" customFormat="1" ht="13.5" customHeight="1" x14ac:dyDescent="0.2">
      <c r="A41" s="485" t="s">
        <v>568</v>
      </c>
      <c r="B41" s="486" t="s">
        <v>570</v>
      </c>
      <c r="C41" s="487"/>
      <c r="K41" s="11"/>
    </row>
    <row r="42" spans="1:11" s="29" customFormat="1" ht="13.5" customHeight="1" x14ac:dyDescent="0.2">
      <c r="K42" s="11"/>
    </row>
    <row r="43" spans="1:11" s="29" customFormat="1" ht="13.5" customHeight="1" x14ac:dyDescent="0.2">
      <c r="A43" s="553" t="s">
        <v>689</v>
      </c>
      <c r="B43" s="553"/>
      <c r="C43" s="553"/>
      <c r="D43" s="553"/>
      <c r="E43" s="553"/>
      <c r="F43" s="553"/>
      <c r="K43" s="11"/>
    </row>
    <row r="44" spans="1:11" s="29" customFormat="1" ht="38.25" customHeight="1" x14ac:dyDescent="0.2">
      <c r="A44" s="551" t="s">
        <v>663</v>
      </c>
      <c r="B44" s="551"/>
      <c r="C44" s="551"/>
      <c r="D44" s="551"/>
      <c r="E44" s="551"/>
      <c r="F44" s="551"/>
      <c r="K44" s="11"/>
    </row>
    <row r="45" spans="1:11" s="29" customFormat="1" ht="13.5" customHeight="1" x14ac:dyDescent="0.2">
      <c r="K45" s="11"/>
    </row>
    <row r="46" spans="1:11" s="29" customFormat="1" ht="13.5" customHeight="1" x14ac:dyDescent="0.2">
      <c r="A46" s="553" t="s">
        <v>690</v>
      </c>
      <c r="B46" s="553"/>
      <c r="C46" s="553"/>
      <c r="D46" s="553"/>
      <c r="E46" s="553"/>
      <c r="F46" s="553"/>
      <c r="K46" s="11"/>
    </row>
    <row r="47" spans="1:11" s="29" customFormat="1" ht="29.25" customHeight="1" x14ac:dyDescent="0.2">
      <c r="A47" s="548" t="s">
        <v>653</v>
      </c>
      <c r="B47" s="548"/>
      <c r="C47" s="548"/>
      <c r="D47" s="548"/>
      <c r="E47" s="548"/>
      <c r="F47" s="548"/>
      <c r="K47" s="11"/>
    </row>
    <row r="48" spans="1:11" s="29" customFormat="1" ht="49.5" customHeight="1" x14ac:dyDescent="0.2">
      <c r="A48" s="548" t="s">
        <v>676</v>
      </c>
      <c r="B48" s="548"/>
      <c r="C48" s="548"/>
      <c r="D48" s="548"/>
      <c r="E48" s="548"/>
      <c r="F48" s="548"/>
      <c r="K48" s="11"/>
    </row>
    <row r="49" spans="1:11" s="29" customFormat="1" ht="15" customHeight="1" x14ac:dyDescent="0.2">
      <c r="A49" s="458"/>
      <c r="B49" s="458"/>
      <c r="C49" s="458"/>
      <c r="D49" s="458"/>
      <c r="E49" s="458"/>
      <c r="F49" s="458"/>
      <c r="K49" s="11"/>
    </row>
    <row r="50" spans="1:11" s="29" customFormat="1" ht="13.5" customHeight="1" x14ac:dyDescent="0.2">
      <c r="A50" s="553" t="s">
        <v>691</v>
      </c>
      <c r="B50" s="553"/>
      <c r="C50" s="553"/>
      <c r="D50" s="553"/>
      <c r="E50" s="553"/>
      <c r="F50" s="553"/>
      <c r="K50" s="11"/>
    </row>
    <row r="51" spans="1:11" s="29" customFormat="1" ht="15.75" customHeight="1" x14ac:dyDescent="0.2">
      <c r="A51" s="548" t="s">
        <v>662</v>
      </c>
      <c r="B51" s="548"/>
      <c r="C51" s="548"/>
      <c r="D51" s="548"/>
      <c r="E51" s="548"/>
      <c r="F51" s="548"/>
      <c r="K51" s="11"/>
    </row>
    <row r="52" spans="1:11" x14ac:dyDescent="0.2">
      <c r="K52"/>
    </row>
    <row r="53" spans="1:11" s="29" customFormat="1" ht="15.75" x14ac:dyDescent="0.25">
      <c r="A53" s="545" t="s">
        <v>596</v>
      </c>
      <c r="B53" s="545"/>
      <c r="C53" s="545"/>
      <c r="D53" s="545"/>
      <c r="E53" s="545"/>
      <c r="F53" s="545"/>
      <c r="K53" s="11"/>
    </row>
    <row r="54" spans="1:11" s="29" customFormat="1" x14ac:dyDescent="0.2">
      <c r="A54" s="408" t="s">
        <v>600</v>
      </c>
      <c r="B54" s="409"/>
      <c r="C54" s="409"/>
      <c r="D54" s="409"/>
      <c r="E54" s="409"/>
      <c r="F54" s="409"/>
      <c r="K54" s="11"/>
    </row>
    <row r="55" spans="1:11" s="29" customFormat="1" x14ac:dyDescent="0.2">
      <c r="A55" s="476" t="s">
        <v>571</v>
      </c>
      <c r="B55" s="476" t="s">
        <v>586</v>
      </c>
      <c r="C55" s="476" t="s">
        <v>587</v>
      </c>
      <c r="D55" s="476" t="s">
        <v>588</v>
      </c>
      <c r="E55" s="476" t="s">
        <v>585</v>
      </c>
      <c r="F55" s="476" t="s">
        <v>595</v>
      </c>
      <c r="G55" s="7"/>
      <c r="H55" s="7"/>
      <c r="I55" s="7"/>
      <c r="J55" s="11"/>
    </row>
    <row r="56" spans="1:11" s="29" customFormat="1" ht="39.75" customHeight="1" x14ac:dyDescent="0.2">
      <c r="A56" s="472" t="s">
        <v>46</v>
      </c>
      <c r="B56" s="473" t="s">
        <v>597</v>
      </c>
      <c r="C56" s="473" t="s">
        <v>590</v>
      </c>
      <c r="D56" s="473" t="s">
        <v>589</v>
      </c>
      <c r="E56" s="473" t="s">
        <v>591</v>
      </c>
      <c r="F56" s="473" t="s">
        <v>604</v>
      </c>
      <c r="J56" s="11"/>
    </row>
    <row r="57" spans="1:11" s="29" customFormat="1" ht="39.75" customHeight="1" x14ac:dyDescent="0.2">
      <c r="A57" s="472" t="s">
        <v>550</v>
      </c>
      <c r="B57" s="474" t="s">
        <v>551</v>
      </c>
      <c r="C57" s="474" t="s">
        <v>23</v>
      </c>
      <c r="D57" s="474" t="s">
        <v>548</v>
      </c>
      <c r="E57" s="474" t="s">
        <v>23</v>
      </c>
      <c r="F57" s="474" t="s">
        <v>605</v>
      </c>
      <c r="J57" s="11"/>
    </row>
    <row r="58" spans="1:11" s="29" customFormat="1" ht="39.75" customHeight="1" x14ac:dyDescent="0.2">
      <c r="A58" s="472" t="s">
        <v>552</v>
      </c>
      <c r="B58" s="474" t="s">
        <v>551</v>
      </c>
      <c r="C58" s="474" t="s">
        <v>592</v>
      </c>
      <c r="D58" s="474" t="s">
        <v>589</v>
      </c>
      <c r="E58" s="474" t="s">
        <v>601</v>
      </c>
      <c r="F58" s="474" t="s">
        <v>23</v>
      </c>
      <c r="J58" s="11"/>
    </row>
    <row r="59" spans="1:11" s="29" customFormat="1" ht="39.75" customHeight="1" x14ac:dyDescent="0.2">
      <c r="A59" s="472" t="s">
        <v>518</v>
      </c>
      <c r="B59" s="474" t="s">
        <v>688</v>
      </c>
      <c r="C59" s="474" t="s">
        <v>23</v>
      </c>
      <c r="D59" s="474" t="s">
        <v>686</v>
      </c>
      <c r="E59" s="474" t="s">
        <v>687</v>
      </c>
      <c r="F59" s="474" t="s">
        <v>615</v>
      </c>
      <c r="J59" s="11"/>
    </row>
    <row r="60" spans="1:11" s="29" customFormat="1" ht="39.75" customHeight="1" x14ac:dyDescent="0.2">
      <c r="A60" s="472" t="s">
        <v>40</v>
      </c>
      <c r="B60" s="474" t="s">
        <v>551</v>
      </c>
      <c r="C60" s="474" t="s">
        <v>593</v>
      </c>
      <c r="D60" s="474" t="s">
        <v>589</v>
      </c>
      <c r="E60" s="474" t="s">
        <v>23</v>
      </c>
      <c r="F60" s="474" t="s">
        <v>23</v>
      </c>
      <c r="J60" s="11"/>
    </row>
    <row r="61" spans="1:11" s="29" customFormat="1" ht="39.75" customHeight="1" x14ac:dyDescent="0.2">
      <c r="A61" s="472" t="s">
        <v>549</v>
      </c>
      <c r="B61" s="474" t="s">
        <v>23</v>
      </c>
      <c r="C61" s="474" t="s">
        <v>559</v>
      </c>
      <c r="D61" s="474" t="s">
        <v>594</v>
      </c>
      <c r="E61" s="474" t="s">
        <v>651</v>
      </c>
      <c r="F61" s="474" t="s">
        <v>23</v>
      </c>
      <c r="J61" s="11"/>
    </row>
    <row r="62" spans="1:11" s="29" customFormat="1" ht="13.5" customHeight="1" x14ac:dyDescent="0.2">
      <c r="A62" s="456" t="s">
        <v>620</v>
      </c>
      <c r="B62" s="457"/>
      <c r="C62" s="457"/>
      <c r="D62" s="457"/>
      <c r="E62" s="457"/>
      <c r="F62" s="457"/>
      <c r="K62" s="11"/>
    </row>
    <row r="63" spans="1:11" s="29" customFormat="1" ht="22.5" customHeight="1" x14ac:dyDescent="0.2">
      <c r="A63" s="475" t="s">
        <v>553</v>
      </c>
      <c r="B63" s="474" t="s">
        <v>647</v>
      </c>
      <c r="C63" s="474" t="s">
        <v>23</v>
      </c>
      <c r="D63" s="474" t="s">
        <v>23</v>
      </c>
      <c r="E63" s="474" t="s">
        <v>23</v>
      </c>
      <c r="F63" s="474" t="s">
        <v>23</v>
      </c>
      <c r="K63" s="11"/>
    </row>
    <row r="64" spans="1:11" s="29" customFormat="1" ht="22.5" customHeight="1" x14ac:dyDescent="0.2">
      <c r="A64" s="475" t="s">
        <v>621</v>
      </c>
      <c r="B64" s="474" t="s">
        <v>647</v>
      </c>
      <c r="C64" s="474" t="s">
        <v>23</v>
      </c>
      <c r="D64" s="474" t="s">
        <v>23</v>
      </c>
      <c r="E64" s="474" t="s">
        <v>23</v>
      </c>
      <c r="F64" s="474" t="s">
        <v>23</v>
      </c>
      <c r="K64" s="11"/>
    </row>
    <row r="65" spans="1:11" s="29" customFormat="1" ht="22.5" customHeight="1" x14ac:dyDescent="0.2">
      <c r="A65" s="475" t="s">
        <v>554</v>
      </c>
      <c r="B65" s="474" t="s">
        <v>23</v>
      </c>
      <c r="C65" s="474" t="s">
        <v>23</v>
      </c>
      <c r="D65" s="474" t="s">
        <v>23</v>
      </c>
      <c r="E65" s="474" t="s">
        <v>23</v>
      </c>
      <c r="F65" s="474" t="s">
        <v>23</v>
      </c>
      <c r="K65" s="11"/>
    </row>
    <row r="66" spans="1:11" s="29" customFormat="1" ht="13.5" customHeight="1" x14ac:dyDescent="0.2">
      <c r="A66" s="422"/>
      <c r="B66" s="418"/>
      <c r="C66" s="418"/>
      <c r="D66" s="418"/>
      <c r="E66" s="418"/>
      <c r="F66" s="418"/>
      <c r="K66" s="11"/>
    </row>
    <row r="67" spans="1:11" s="29" customFormat="1" ht="15.75" customHeight="1" x14ac:dyDescent="0.25">
      <c r="A67" s="545" t="s">
        <v>650</v>
      </c>
      <c r="B67" s="545"/>
      <c r="C67" s="545"/>
      <c r="D67" s="545"/>
      <c r="E67" s="545"/>
      <c r="F67" s="545"/>
      <c r="K67" s="11"/>
    </row>
    <row r="68" spans="1:11" s="29" customFormat="1" x14ac:dyDescent="0.2">
      <c r="A68" s="565" t="s">
        <v>668</v>
      </c>
      <c r="B68" s="565"/>
      <c r="C68" s="565"/>
      <c r="D68" s="565"/>
      <c r="E68" s="565"/>
      <c r="F68" s="565"/>
      <c r="K68" s="11"/>
    </row>
    <row r="69" spans="1:11" s="29" customFormat="1" ht="18.75" customHeight="1" x14ac:dyDescent="0.2">
      <c r="A69" s="569" t="s">
        <v>603</v>
      </c>
      <c r="B69" s="570"/>
      <c r="C69" s="570"/>
      <c r="D69" s="567" t="s">
        <v>706</v>
      </c>
      <c r="E69" s="567"/>
      <c r="F69" s="568"/>
      <c r="K69" s="11"/>
    </row>
    <row r="70" spans="1:11" s="29" customFormat="1" ht="18.75" customHeight="1" x14ac:dyDescent="0.2">
      <c r="A70" s="571"/>
      <c r="B70" s="572"/>
      <c r="C70" s="572"/>
      <c r="D70" s="469" t="s">
        <v>696</v>
      </c>
      <c r="E70" s="470" t="s">
        <v>698</v>
      </c>
      <c r="F70" s="471" t="s">
        <v>695</v>
      </c>
      <c r="G70"/>
      <c r="K70" s="11"/>
    </row>
    <row r="71" spans="1:11" s="29" customFormat="1" ht="12.75" customHeight="1" x14ac:dyDescent="0.2">
      <c r="A71" s="559" t="s">
        <v>710</v>
      </c>
      <c r="B71" s="554" t="s">
        <v>555</v>
      </c>
      <c r="C71" s="554"/>
      <c r="D71" s="561"/>
      <c r="E71" s="556" t="s">
        <v>702</v>
      </c>
      <c r="F71" s="561"/>
      <c r="G71"/>
      <c r="K71" s="11"/>
    </row>
    <row r="72" spans="1:11" s="29" customFormat="1" ht="12.75" customHeight="1" x14ac:dyDescent="0.2">
      <c r="A72" s="559"/>
      <c r="B72" s="554"/>
      <c r="C72" s="554"/>
      <c r="D72" s="561"/>
      <c r="E72" s="556"/>
      <c r="F72" s="561"/>
      <c r="G72"/>
      <c r="K72" s="11"/>
    </row>
    <row r="73" spans="1:11" s="29" customFormat="1" ht="12.75" customHeight="1" x14ac:dyDescent="0.2">
      <c r="A73" s="559"/>
      <c r="B73" s="554"/>
      <c r="C73" s="554"/>
      <c r="D73" s="561"/>
      <c r="E73" s="556"/>
      <c r="F73" s="561"/>
      <c r="G73"/>
      <c r="K73" s="11"/>
    </row>
    <row r="74" spans="1:11" s="29" customFormat="1" ht="12.75" customHeight="1" x14ac:dyDescent="0.2">
      <c r="A74" s="559"/>
      <c r="B74" s="554" t="s">
        <v>693</v>
      </c>
      <c r="C74" s="554"/>
      <c r="D74" s="556" t="s">
        <v>701</v>
      </c>
      <c r="E74" s="556"/>
      <c r="F74" s="561" t="s">
        <v>699</v>
      </c>
      <c r="G74"/>
      <c r="K74" s="11"/>
    </row>
    <row r="75" spans="1:11" s="29" customFormat="1" ht="12.75" customHeight="1" x14ac:dyDescent="0.2">
      <c r="A75" s="559"/>
      <c r="B75" s="554"/>
      <c r="C75" s="554"/>
      <c r="D75" s="556"/>
      <c r="E75" s="556"/>
      <c r="F75" s="561"/>
      <c r="G75"/>
      <c r="K75" s="11"/>
    </row>
    <row r="76" spans="1:11" s="29" customFormat="1" ht="12.75" customHeight="1" x14ac:dyDescent="0.2">
      <c r="A76" s="559"/>
      <c r="B76" s="554"/>
      <c r="C76" s="554"/>
      <c r="D76" s="556"/>
      <c r="E76" s="556"/>
      <c r="F76" s="561"/>
      <c r="G76"/>
      <c r="K76" s="11"/>
    </row>
    <row r="77" spans="1:11" s="29" customFormat="1" ht="12.75" customHeight="1" x14ac:dyDescent="0.2">
      <c r="A77" s="559"/>
      <c r="B77" s="556" t="s">
        <v>692</v>
      </c>
      <c r="C77" s="556"/>
      <c r="D77" s="556"/>
      <c r="E77" s="556"/>
      <c r="F77" s="561"/>
      <c r="G77"/>
      <c r="K77" s="11"/>
    </row>
    <row r="78" spans="1:11" s="29" customFormat="1" ht="12.75" customHeight="1" x14ac:dyDescent="0.2">
      <c r="A78" s="559"/>
      <c r="B78" s="556"/>
      <c r="C78" s="556"/>
      <c r="D78" s="556"/>
      <c r="E78" s="556"/>
      <c r="F78" s="561"/>
      <c r="G78"/>
      <c r="K78" s="11"/>
    </row>
    <row r="79" spans="1:11" s="29" customFormat="1" ht="12.75" customHeight="1" x14ac:dyDescent="0.2">
      <c r="A79" s="559"/>
      <c r="B79" s="556"/>
      <c r="C79" s="556"/>
      <c r="D79" s="556"/>
      <c r="E79" s="556"/>
      <c r="F79" s="561"/>
      <c r="G79"/>
      <c r="K79" s="11"/>
    </row>
    <row r="80" spans="1:11" s="29" customFormat="1" ht="12.75" customHeight="1" x14ac:dyDescent="0.2">
      <c r="A80" s="559"/>
      <c r="B80" s="556"/>
      <c r="C80" s="556"/>
      <c r="D80" s="556"/>
      <c r="E80" s="556"/>
      <c r="F80" s="561"/>
      <c r="G80"/>
      <c r="K80" s="11"/>
    </row>
    <row r="81" spans="1:11" s="29" customFormat="1" ht="12.75" customHeight="1" x14ac:dyDescent="0.2">
      <c r="A81" s="559" t="s">
        <v>707</v>
      </c>
      <c r="B81" s="554" t="s">
        <v>708</v>
      </c>
      <c r="C81" s="554"/>
      <c r="D81" s="566" t="s">
        <v>705</v>
      </c>
      <c r="E81" s="566"/>
      <c r="F81" s="566"/>
      <c r="G81"/>
      <c r="K81" s="11"/>
    </row>
    <row r="82" spans="1:11" s="29" customFormat="1" ht="12.75" customHeight="1" x14ac:dyDescent="0.2">
      <c r="A82" s="559"/>
      <c r="B82" s="554"/>
      <c r="C82" s="554"/>
      <c r="D82" s="558" t="s">
        <v>703</v>
      </c>
      <c r="E82" s="558" t="s">
        <v>704</v>
      </c>
      <c r="F82" s="558" t="s">
        <v>697</v>
      </c>
      <c r="G82"/>
      <c r="K82" s="11"/>
    </row>
    <row r="83" spans="1:11" s="29" customFormat="1" ht="12.75" customHeight="1" x14ac:dyDescent="0.2">
      <c r="A83" s="559"/>
      <c r="B83" s="554"/>
      <c r="C83" s="554"/>
      <c r="D83" s="556"/>
      <c r="E83" s="556"/>
      <c r="F83" s="556"/>
      <c r="K83" s="11"/>
    </row>
    <row r="84" spans="1:11" s="29" customFormat="1" ht="12.75" customHeight="1" x14ac:dyDescent="0.2">
      <c r="A84" s="559"/>
      <c r="B84" s="554"/>
      <c r="C84" s="554"/>
      <c r="D84" s="556"/>
      <c r="E84" s="556"/>
      <c r="F84" s="556"/>
      <c r="G84"/>
      <c r="K84" s="11"/>
    </row>
    <row r="85" spans="1:11" s="29" customFormat="1" ht="12.75" customHeight="1" x14ac:dyDescent="0.2">
      <c r="A85" s="559" t="s">
        <v>709</v>
      </c>
      <c r="B85" s="554" t="s">
        <v>602</v>
      </c>
      <c r="C85" s="554"/>
      <c r="D85" s="561"/>
      <c r="E85" s="556" t="s">
        <v>700</v>
      </c>
      <c r="F85" s="561" t="s">
        <v>711</v>
      </c>
      <c r="G85"/>
      <c r="K85" s="11"/>
    </row>
    <row r="86" spans="1:11" s="29" customFormat="1" ht="12.75" customHeight="1" x14ac:dyDescent="0.2">
      <c r="A86" s="559"/>
      <c r="B86" s="554"/>
      <c r="C86" s="554"/>
      <c r="D86" s="561"/>
      <c r="E86" s="556"/>
      <c r="F86" s="561"/>
      <c r="G86"/>
      <c r="K86" s="11"/>
    </row>
    <row r="87" spans="1:11" s="29" customFormat="1" ht="12.75" customHeight="1" x14ac:dyDescent="0.2">
      <c r="A87" s="559"/>
      <c r="B87" s="554"/>
      <c r="C87" s="554"/>
      <c r="D87" s="561"/>
      <c r="E87" s="556"/>
      <c r="F87" s="561"/>
      <c r="G87"/>
      <c r="K87" s="11"/>
    </row>
    <row r="88" spans="1:11" s="29" customFormat="1" ht="12.75" customHeight="1" x14ac:dyDescent="0.2">
      <c r="A88" s="559" t="s">
        <v>551</v>
      </c>
      <c r="B88" s="554" t="s">
        <v>694</v>
      </c>
      <c r="C88" s="554"/>
      <c r="D88" s="561"/>
      <c r="E88" s="556"/>
      <c r="F88" s="561"/>
      <c r="G88"/>
      <c r="K88" s="11"/>
    </row>
    <row r="89" spans="1:11" s="29" customFormat="1" ht="12.75" customHeight="1" x14ac:dyDescent="0.2">
      <c r="A89" s="559"/>
      <c r="B89" s="554"/>
      <c r="C89" s="554"/>
      <c r="D89" s="561"/>
      <c r="E89" s="556"/>
      <c r="F89" s="561"/>
      <c r="G89"/>
      <c r="K89" s="11"/>
    </row>
    <row r="90" spans="1:11" s="29" customFormat="1" ht="12.75" customHeight="1" x14ac:dyDescent="0.2">
      <c r="A90" s="559"/>
      <c r="B90" s="554"/>
      <c r="C90" s="554"/>
      <c r="D90" s="561"/>
      <c r="E90" s="556"/>
      <c r="F90" s="561"/>
      <c r="G90"/>
      <c r="K90" s="11"/>
    </row>
    <row r="91" spans="1:11" s="29" customFormat="1" ht="15.75" customHeight="1" x14ac:dyDescent="0.2">
      <c r="A91"/>
      <c r="B91" s="463"/>
      <c r="C91" s="463"/>
      <c r="D91" s="459"/>
      <c r="E91" s="459"/>
      <c r="G91"/>
      <c r="K91" s="11"/>
    </row>
    <row r="92" spans="1:11" s="29" customFormat="1" ht="15" x14ac:dyDescent="0.25">
      <c r="A92" s="557" t="s">
        <v>652</v>
      </c>
      <c r="B92" s="557"/>
      <c r="C92" s="557"/>
      <c r="D92" s="557"/>
      <c r="E92" s="557"/>
      <c r="F92" s="557"/>
      <c r="K92" s="11"/>
    </row>
    <row r="93" spans="1:11" s="29" customFormat="1" x14ac:dyDescent="0.2">
      <c r="A93" s="408" t="s">
        <v>664</v>
      </c>
      <c r="B93" s="409"/>
      <c r="C93" s="409"/>
      <c r="D93" s="409"/>
      <c r="E93" s="409"/>
      <c r="F93" s="409"/>
      <c r="K93" s="11"/>
    </row>
    <row r="94" spans="1:11" s="29" customFormat="1" x14ac:dyDescent="0.2">
      <c r="A94" s="477" t="s">
        <v>715</v>
      </c>
      <c r="B94" s="478"/>
      <c r="C94" s="478"/>
      <c r="D94" s="478"/>
      <c r="E94" s="478"/>
      <c r="F94" s="478"/>
      <c r="K94" s="11"/>
    </row>
    <row r="95" spans="1:11" s="29" customFormat="1" ht="37.5" customHeight="1" x14ac:dyDescent="0.2">
      <c r="A95" s="468" t="s">
        <v>716</v>
      </c>
      <c r="B95" s="560" t="s">
        <v>720</v>
      </c>
      <c r="C95" s="560"/>
      <c r="D95" s="560"/>
      <c r="E95" s="560"/>
      <c r="F95" s="560"/>
      <c r="K95" s="11"/>
    </row>
    <row r="96" spans="1:11" s="29" customFormat="1" ht="28.5" customHeight="1" x14ac:dyDescent="0.2">
      <c r="A96" s="468" t="s">
        <v>717</v>
      </c>
      <c r="B96" s="574" t="s">
        <v>724</v>
      </c>
      <c r="C96" s="574"/>
      <c r="D96" s="574"/>
      <c r="E96" s="574"/>
      <c r="F96" s="574"/>
      <c r="K96" s="11"/>
    </row>
    <row r="97" spans="1:11" s="29" customFormat="1" ht="28.5" customHeight="1" x14ac:dyDescent="0.2">
      <c r="A97" s="468" t="s">
        <v>718</v>
      </c>
      <c r="B97" s="550" t="s">
        <v>719</v>
      </c>
      <c r="C97" s="575"/>
      <c r="D97" s="575"/>
      <c r="E97" s="575"/>
      <c r="F97" s="575"/>
      <c r="K97" s="11"/>
    </row>
    <row r="98" spans="1:11" s="29" customFormat="1" ht="14.25" customHeight="1" x14ac:dyDescent="0.2">
      <c r="A98" s="462"/>
      <c r="B98" s="462"/>
      <c r="C98" s="462"/>
      <c r="D98" s="462"/>
      <c r="E98" s="462"/>
      <c r="F98" s="462"/>
      <c r="K98" s="11"/>
    </row>
    <row r="99" spans="1:11" s="29" customFormat="1" x14ac:dyDescent="0.2">
      <c r="A99" s="477" t="s">
        <v>665</v>
      </c>
      <c r="B99" s="478"/>
      <c r="C99" s="478"/>
      <c r="D99" s="478"/>
      <c r="E99" s="478"/>
      <c r="F99" s="478"/>
      <c r="K99" s="11"/>
    </row>
    <row r="100" spans="1:11" s="29" customFormat="1" ht="25.5" customHeight="1" x14ac:dyDescent="0.2">
      <c r="A100" s="555" t="s">
        <v>666</v>
      </c>
      <c r="B100" s="555"/>
      <c r="C100" s="555"/>
      <c r="D100" s="555"/>
      <c r="E100" s="555"/>
      <c r="F100" s="555"/>
      <c r="K100" s="11"/>
    </row>
    <row r="101" spans="1:11" s="29" customFormat="1" ht="25.5" customHeight="1" x14ac:dyDescent="0.2">
      <c r="A101" s="555" t="s">
        <v>721</v>
      </c>
      <c r="B101" s="555"/>
      <c r="C101" s="555"/>
      <c r="D101" s="555"/>
      <c r="E101" s="555"/>
      <c r="F101" s="555"/>
      <c r="K101" s="11"/>
    </row>
    <row r="102" spans="1:11" s="29" customFormat="1" ht="12" customHeight="1" x14ac:dyDescent="0.2">
      <c r="A102" s="551"/>
      <c r="B102" s="551"/>
      <c r="C102" s="551"/>
      <c r="D102" s="551"/>
      <c r="E102" s="551"/>
      <c r="F102" s="551"/>
      <c r="K102" s="11"/>
    </row>
    <row r="103" spans="1:11" ht="15" x14ac:dyDescent="0.25">
      <c r="A103" s="557" t="s">
        <v>732</v>
      </c>
      <c r="B103" s="557"/>
      <c r="C103" s="557"/>
      <c r="D103" s="557"/>
      <c r="E103" s="557"/>
      <c r="F103" s="557"/>
    </row>
    <row r="104" spans="1:11" s="29" customFormat="1" x14ac:dyDescent="0.2">
      <c r="A104" s="408" t="s">
        <v>712</v>
      </c>
      <c r="B104" s="409"/>
      <c r="C104" s="409"/>
      <c r="D104" s="409"/>
      <c r="E104" s="409"/>
      <c r="F104" s="409"/>
      <c r="K104" s="11"/>
    </row>
    <row r="105" spans="1:11" ht="41.25" customHeight="1" x14ac:dyDescent="0.2">
      <c r="A105" s="577" t="s">
        <v>723</v>
      </c>
      <c r="B105" s="577"/>
      <c r="C105" s="577"/>
      <c r="D105" s="577"/>
      <c r="E105" s="577"/>
      <c r="F105" s="577"/>
    </row>
    <row r="106" spans="1:11" ht="26.25" customHeight="1" x14ac:dyDescent="0.2">
      <c r="A106" s="576" t="s">
        <v>733</v>
      </c>
      <c r="B106" s="576"/>
      <c r="C106" s="576"/>
      <c r="D106" s="576"/>
      <c r="E106" s="576"/>
      <c r="F106" s="576"/>
    </row>
    <row r="107" spans="1:11" s="29" customFormat="1" ht="15" x14ac:dyDescent="0.25">
      <c r="A107" s="557" t="s">
        <v>714</v>
      </c>
      <c r="B107" s="557"/>
      <c r="C107" s="557"/>
      <c r="D107" s="557"/>
      <c r="E107" s="557"/>
      <c r="F107" s="557"/>
      <c r="K107" s="11"/>
    </row>
    <row r="108" spans="1:11" ht="57" customHeight="1" x14ac:dyDescent="0.2">
      <c r="A108" s="573" t="s">
        <v>725</v>
      </c>
      <c r="B108" s="573"/>
      <c r="C108" s="573"/>
      <c r="D108" s="573"/>
      <c r="E108" s="573"/>
      <c r="F108" s="573"/>
    </row>
    <row r="109" spans="1:11" ht="36" customHeight="1" x14ac:dyDescent="0.2">
      <c r="A109" s="573" t="s">
        <v>726</v>
      </c>
      <c r="B109" s="573"/>
      <c r="C109" s="573"/>
      <c r="D109" s="573"/>
      <c r="E109" s="573"/>
      <c r="F109" s="573"/>
    </row>
    <row r="110" spans="1:11" ht="41.25" customHeight="1" x14ac:dyDescent="0.2">
      <c r="A110" s="573" t="s">
        <v>722</v>
      </c>
      <c r="B110" s="573"/>
      <c r="C110" s="573"/>
      <c r="D110" s="573"/>
      <c r="E110" s="573"/>
      <c r="F110" s="573"/>
    </row>
    <row r="111" spans="1:11" ht="27" customHeight="1" x14ac:dyDescent="0.2"/>
    <row r="113" spans="1:1" x14ac:dyDescent="0.2">
      <c r="A113" s="7"/>
    </row>
  </sheetData>
  <sheetProtection algorithmName="SHA-512" hashValue="QegiJ14RY7RYJ1j6UQgGc6wj8V4Zo6nzkL/7dxwAxTiGF76JB4LjKTkhgMyZO1MDxyRZOdhIZdc2PZRxnO/SKw==" saltValue="XiKm5C37fC4EHqwF1dMtoQ==" spinCount="100000" sheet="1" objects="1" scenarios="1"/>
  <mergeCells count="69">
    <mergeCell ref="A110:F110"/>
    <mergeCell ref="B96:F96"/>
    <mergeCell ref="B97:F97"/>
    <mergeCell ref="A101:F101"/>
    <mergeCell ref="A108:F108"/>
    <mergeCell ref="A109:F109"/>
    <mergeCell ref="A102:F102"/>
    <mergeCell ref="A107:F107"/>
    <mergeCell ref="A106:F106"/>
    <mergeCell ref="A105:F105"/>
    <mergeCell ref="A103:F103"/>
    <mergeCell ref="F85:F87"/>
    <mergeCell ref="D74:D80"/>
    <mergeCell ref="F71:F73"/>
    <mergeCell ref="D71:D73"/>
    <mergeCell ref="E82:E84"/>
    <mergeCell ref="F82:F84"/>
    <mergeCell ref="A67:F67"/>
    <mergeCell ref="A53:F53"/>
    <mergeCell ref="A68:F68"/>
    <mergeCell ref="D81:F81"/>
    <mergeCell ref="D69:F69"/>
    <mergeCell ref="E71:E80"/>
    <mergeCell ref="F74:F80"/>
    <mergeCell ref="A71:A80"/>
    <mergeCell ref="A69:C70"/>
    <mergeCell ref="B71:C73"/>
    <mergeCell ref="A51:F51"/>
    <mergeCell ref="E18:F18"/>
    <mergeCell ref="E9:F10"/>
    <mergeCell ref="E11:F12"/>
    <mergeCell ref="E4:F5"/>
    <mergeCell ref="E6:F7"/>
    <mergeCell ref="E14:F15"/>
    <mergeCell ref="E16:F17"/>
    <mergeCell ref="E8:F8"/>
    <mergeCell ref="E13:F13"/>
    <mergeCell ref="A43:F43"/>
    <mergeCell ref="A50:F50"/>
    <mergeCell ref="B88:C90"/>
    <mergeCell ref="B74:C76"/>
    <mergeCell ref="A100:F100"/>
    <mergeCell ref="B81:C84"/>
    <mergeCell ref="B77:C80"/>
    <mergeCell ref="E85:E90"/>
    <mergeCell ref="B85:C87"/>
    <mergeCell ref="A92:F92"/>
    <mergeCell ref="D82:D84"/>
    <mergeCell ref="A81:A84"/>
    <mergeCell ref="A85:A87"/>
    <mergeCell ref="A88:A90"/>
    <mergeCell ref="B95:F95"/>
    <mergeCell ref="F88:F90"/>
    <mergeCell ref="D85:D87"/>
    <mergeCell ref="D88:D90"/>
    <mergeCell ref="A1:F1"/>
    <mergeCell ref="A2:D2"/>
    <mergeCell ref="E2:F2"/>
    <mergeCell ref="C6:C7"/>
    <mergeCell ref="A48:F48"/>
    <mergeCell ref="E19:F20"/>
    <mergeCell ref="A44:F44"/>
    <mergeCell ref="D4:D5"/>
    <mergeCell ref="A28:F28"/>
    <mergeCell ref="E3:F3"/>
    <mergeCell ref="A46:F46"/>
    <mergeCell ref="E21:F23"/>
    <mergeCell ref="C4:C5"/>
    <mergeCell ref="A47:F47"/>
  </mergeCells>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592FF"/>
  </sheetPr>
  <dimension ref="A1:AE81"/>
  <sheetViews>
    <sheetView workbookViewId="0">
      <pane xSplit="1" ySplit="2" topLeftCell="H3" activePane="bottomRight" state="frozen"/>
      <selection pane="topRight" activeCell="B1" sqref="B1"/>
      <selection pane="bottomLeft" activeCell="A3" sqref="A3"/>
      <selection pane="bottomRight" activeCell="A39" sqref="A39"/>
    </sheetView>
  </sheetViews>
  <sheetFormatPr defaultRowHeight="12.75" x14ac:dyDescent="0.2"/>
  <cols>
    <col min="1" max="1" width="31" customWidth="1"/>
    <col min="2" max="2" width="17.5703125" customWidth="1"/>
    <col min="3" max="3" width="8.7109375" customWidth="1"/>
    <col min="4" max="4" width="8.7109375" style="29" customWidth="1"/>
    <col min="5" max="11" width="9.140625" customWidth="1"/>
    <col min="12" max="12" width="13.85546875" style="29" customWidth="1"/>
    <col min="13" max="28" width="9.140625" customWidth="1"/>
  </cols>
  <sheetData>
    <row r="1" spans="1:31" s="29" customFormat="1" x14ac:dyDescent="0.2">
      <c r="A1" s="399" t="s">
        <v>572</v>
      </c>
      <c r="B1" s="579" t="s">
        <v>402</v>
      </c>
      <c r="C1" s="579" t="s">
        <v>403</v>
      </c>
      <c r="D1" s="579" t="s">
        <v>546</v>
      </c>
      <c r="E1" s="580" t="s">
        <v>510</v>
      </c>
      <c r="F1" s="580"/>
      <c r="G1" s="580"/>
      <c r="H1" s="580"/>
      <c r="I1" s="580"/>
      <c r="J1" s="580"/>
      <c r="K1" s="580"/>
      <c r="L1" s="406"/>
      <c r="M1" s="581" t="s">
        <v>518</v>
      </c>
      <c r="N1" s="581"/>
      <c r="O1" s="581"/>
      <c r="P1" s="581"/>
      <c r="Q1" s="581"/>
      <c r="R1" s="582" t="s">
        <v>46</v>
      </c>
      <c r="S1" s="582"/>
      <c r="T1" s="582"/>
      <c r="U1" s="582"/>
      <c r="V1" s="582"/>
      <c r="W1" s="584" t="s">
        <v>519</v>
      </c>
      <c r="X1" s="584"/>
      <c r="Y1" s="584"/>
      <c r="Z1" s="583" t="s">
        <v>520</v>
      </c>
      <c r="AA1" s="583"/>
      <c r="AB1" s="583"/>
      <c r="AC1" s="578" t="s">
        <v>537</v>
      </c>
      <c r="AD1" s="578"/>
      <c r="AE1" s="578"/>
    </row>
    <row r="2" spans="1:31" s="11" customFormat="1" ht="25.5" customHeight="1" x14ac:dyDescent="0.2">
      <c r="A2" s="399" t="s">
        <v>58</v>
      </c>
      <c r="B2" s="579"/>
      <c r="C2" s="579"/>
      <c r="D2" s="579"/>
      <c r="E2" s="401" t="s">
        <v>511</v>
      </c>
      <c r="F2" s="401" t="s">
        <v>512</v>
      </c>
      <c r="G2" s="401" t="s">
        <v>513</v>
      </c>
      <c r="H2" s="401" t="s">
        <v>514</v>
      </c>
      <c r="I2" s="401" t="s">
        <v>515</v>
      </c>
      <c r="J2" s="401" t="s">
        <v>516</v>
      </c>
      <c r="K2" s="401" t="s">
        <v>517</v>
      </c>
      <c r="L2" s="401" t="s">
        <v>135</v>
      </c>
      <c r="M2" s="400" t="s">
        <v>511</v>
      </c>
      <c r="N2" s="400" t="s">
        <v>512</v>
      </c>
      <c r="O2" s="400" t="s">
        <v>513</v>
      </c>
      <c r="P2" s="400" t="s">
        <v>514</v>
      </c>
      <c r="Q2" s="400" t="s">
        <v>515</v>
      </c>
      <c r="R2" s="403" t="s">
        <v>511</v>
      </c>
      <c r="S2" s="403" t="s">
        <v>512</v>
      </c>
      <c r="T2" s="403" t="s">
        <v>513</v>
      </c>
      <c r="U2" s="403" t="s">
        <v>514</v>
      </c>
      <c r="V2" s="403" t="s">
        <v>515</v>
      </c>
      <c r="W2" s="402" t="s">
        <v>511</v>
      </c>
      <c r="X2" s="402" t="s">
        <v>521</v>
      </c>
      <c r="Y2" s="402" t="s">
        <v>522</v>
      </c>
      <c r="Z2" s="404" t="s">
        <v>511</v>
      </c>
      <c r="AA2" s="404" t="s">
        <v>523</v>
      </c>
      <c r="AB2" s="404" t="s">
        <v>522</v>
      </c>
      <c r="AC2" s="407" t="s">
        <v>538</v>
      </c>
      <c r="AD2" s="407" t="s">
        <v>539</v>
      </c>
      <c r="AE2" s="407" t="s">
        <v>540</v>
      </c>
    </row>
    <row r="3" spans="1:31" x14ac:dyDescent="0.2">
      <c r="A3" t="s">
        <v>404</v>
      </c>
      <c r="C3" t="s">
        <v>405</v>
      </c>
      <c r="D3" s="29">
        <f>IF(OR(E3=1,M3=1,R3=1,W3=1,Z3=1,AC3=1),1,"")</f>
        <v>1</v>
      </c>
      <c r="E3">
        <v>1</v>
      </c>
      <c r="F3">
        <v>0.67</v>
      </c>
      <c r="G3">
        <v>75</v>
      </c>
      <c r="M3">
        <v>1</v>
      </c>
      <c r="N3">
        <v>0.82</v>
      </c>
      <c r="O3">
        <v>300</v>
      </c>
      <c r="R3">
        <v>1</v>
      </c>
      <c r="S3" s="96">
        <v>2</v>
      </c>
      <c r="T3">
        <v>300</v>
      </c>
    </row>
    <row r="4" spans="1:31" x14ac:dyDescent="0.2">
      <c r="A4" t="s">
        <v>404</v>
      </c>
      <c r="C4" t="s">
        <v>406</v>
      </c>
      <c r="D4" s="29">
        <f t="shared" ref="D4:D67" si="0">IF(OR(E4=1,M4=1,R4=1,W4=1,Z4=1,AC4=1),1,"")</f>
        <v>1</v>
      </c>
      <c r="E4">
        <v>1</v>
      </c>
      <c r="F4">
        <v>0.67</v>
      </c>
      <c r="G4">
        <v>50</v>
      </c>
      <c r="M4">
        <v>1</v>
      </c>
      <c r="N4">
        <v>0.8</v>
      </c>
      <c r="O4">
        <v>300</v>
      </c>
    </row>
    <row r="5" spans="1:31" x14ac:dyDescent="0.2">
      <c r="A5" t="s">
        <v>407</v>
      </c>
      <c r="C5" t="s">
        <v>408</v>
      </c>
      <c r="D5" s="29">
        <f t="shared" si="0"/>
        <v>1</v>
      </c>
      <c r="R5">
        <v>1</v>
      </c>
      <c r="S5">
        <v>2</v>
      </c>
      <c r="T5">
        <v>500</v>
      </c>
    </row>
    <row r="6" spans="1:31" x14ac:dyDescent="0.2">
      <c r="A6" t="s">
        <v>409</v>
      </c>
      <c r="B6" t="s">
        <v>410</v>
      </c>
      <c r="C6" t="s">
        <v>411</v>
      </c>
      <c r="D6" s="29">
        <f t="shared" si="0"/>
        <v>1</v>
      </c>
      <c r="E6">
        <v>1</v>
      </c>
      <c r="F6">
        <v>0.67</v>
      </c>
      <c r="G6">
        <v>125</v>
      </c>
    </row>
    <row r="7" spans="1:31" x14ac:dyDescent="0.2">
      <c r="A7" t="s">
        <v>409</v>
      </c>
      <c r="B7" t="s">
        <v>412</v>
      </c>
      <c r="C7" t="s">
        <v>411</v>
      </c>
      <c r="D7" s="29" t="str">
        <f t="shared" si="0"/>
        <v/>
      </c>
    </row>
    <row r="8" spans="1:31" x14ac:dyDescent="0.2">
      <c r="A8" t="s">
        <v>413</v>
      </c>
      <c r="C8" t="s">
        <v>414</v>
      </c>
      <c r="D8" s="29">
        <f t="shared" si="0"/>
        <v>1</v>
      </c>
      <c r="E8">
        <v>1</v>
      </c>
      <c r="F8">
        <v>0.62</v>
      </c>
      <c r="G8">
        <v>200</v>
      </c>
      <c r="H8">
        <v>0.67</v>
      </c>
      <c r="I8">
        <v>300</v>
      </c>
      <c r="J8">
        <v>0.82</v>
      </c>
      <c r="K8">
        <v>400</v>
      </c>
      <c r="M8">
        <v>1</v>
      </c>
      <c r="N8">
        <v>0.82</v>
      </c>
      <c r="O8">
        <v>400</v>
      </c>
    </row>
    <row r="9" spans="1:31" x14ac:dyDescent="0.2">
      <c r="A9" t="s">
        <v>413</v>
      </c>
      <c r="C9" t="s">
        <v>415</v>
      </c>
      <c r="D9" s="29">
        <f t="shared" si="0"/>
        <v>1</v>
      </c>
      <c r="M9">
        <v>1</v>
      </c>
      <c r="N9">
        <v>0.82</v>
      </c>
      <c r="O9">
        <v>300</v>
      </c>
    </row>
    <row r="10" spans="1:31" x14ac:dyDescent="0.2">
      <c r="A10" t="s">
        <v>413</v>
      </c>
      <c r="C10" t="s">
        <v>416</v>
      </c>
      <c r="D10" s="29">
        <f t="shared" si="0"/>
        <v>1</v>
      </c>
      <c r="E10">
        <v>1</v>
      </c>
      <c r="F10">
        <v>0.67</v>
      </c>
      <c r="G10">
        <v>100</v>
      </c>
      <c r="H10">
        <v>0.67</v>
      </c>
      <c r="I10">
        <v>200</v>
      </c>
      <c r="M10">
        <v>1</v>
      </c>
      <c r="N10">
        <v>0.82</v>
      </c>
      <c r="O10">
        <v>300</v>
      </c>
    </row>
    <row r="11" spans="1:31" x14ac:dyDescent="0.2">
      <c r="A11" t="s">
        <v>417</v>
      </c>
      <c r="C11" t="s">
        <v>418</v>
      </c>
      <c r="D11" s="29">
        <f t="shared" si="0"/>
        <v>1</v>
      </c>
      <c r="E11">
        <v>1</v>
      </c>
      <c r="F11">
        <v>0.6</v>
      </c>
      <c r="G11">
        <v>20</v>
      </c>
      <c r="H11">
        <v>0.62</v>
      </c>
      <c r="I11">
        <v>20</v>
      </c>
      <c r="L11" s="29" t="s">
        <v>556</v>
      </c>
      <c r="M11">
        <v>1</v>
      </c>
      <c r="N11">
        <v>0.82</v>
      </c>
      <c r="O11">
        <v>130</v>
      </c>
    </row>
    <row r="12" spans="1:31" x14ac:dyDescent="0.2">
      <c r="A12" t="s">
        <v>417</v>
      </c>
      <c r="C12" t="s">
        <v>419</v>
      </c>
      <c r="D12" s="29" t="str">
        <f t="shared" si="0"/>
        <v/>
      </c>
    </row>
    <row r="13" spans="1:31" x14ac:dyDescent="0.2">
      <c r="A13" t="s">
        <v>417</v>
      </c>
      <c r="C13" t="s">
        <v>420</v>
      </c>
      <c r="D13" s="29" t="str">
        <f t="shared" si="0"/>
        <v/>
      </c>
    </row>
    <row r="14" spans="1:31" x14ac:dyDescent="0.2">
      <c r="A14" t="s">
        <v>421</v>
      </c>
      <c r="C14" t="s">
        <v>422</v>
      </c>
      <c r="D14" s="29">
        <f t="shared" si="0"/>
        <v>1</v>
      </c>
      <c r="R14">
        <v>1</v>
      </c>
      <c r="S14" t="s">
        <v>524</v>
      </c>
      <c r="T14">
        <v>500</v>
      </c>
    </row>
    <row r="15" spans="1:31" x14ac:dyDescent="0.2">
      <c r="A15" t="s">
        <v>423</v>
      </c>
      <c r="B15" t="s">
        <v>424</v>
      </c>
      <c r="C15" t="s">
        <v>425</v>
      </c>
      <c r="D15" s="29">
        <f t="shared" si="0"/>
        <v>1</v>
      </c>
      <c r="E15">
        <v>1</v>
      </c>
      <c r="F15">
        <v>0.67</v>
      </c>
      <c r="G15">
        <v>100</v>
      </c>
      <c r="M15">
        <v>1</v>
      </c>
      <c r="N15">
        <v>0.82</v>
      </c>
      <c r="O15">
        <v>500</v>
      </c>
      <c r="P15">
        <v>0.94</v>
      </c>
      <c r="Q15">
        <v>800</v>
      </c>
      <c r="W15">
        <v>1</v>
      </c>
      <c r="Y15">
        <v>400</v>
      </c>
    </row>
    <row r="16" spans="1:31" x14ac:dyDescent="0.2">
      <c r="A16" t="s">
        <v>426</v>
      </c>
      <c r="C16" t="s">
        <v>415</v>
      </c>
      <c r="D16" s="29">
        <f t="shared" si="0"/>
        <v>1</v>
      </c>
      <c r="E16">
        <v>1</v>
      </c>
      <c r="F16">
        <v>0.67</v>
      </c>
      <c r="G16">
        <v>75</v>
      </c>
      <c r="H16">
        <v>0.8</v>
      </c>
      <c r="I16">
        <v>300</v>
      </c>
      <c r="M16">
        <v>1</v>
      </c>
      <c r="N16">
        <v>0.82</v>
      </c>
      <c r="O16">
        <v>300</v>
      </c>
    </row>
    <row r="17" spans="1:31" x14ac:dyDescent="0.2">
      <c r="A17" t="s">
        <v>426</v>
      </c>
      <c r="C17" t="s">
        <v>405</v>
      </c>
      <c r="D17" s="29">
        <f t="shared" si="0"/>
        <v>1</v>
      </c>
      <c r="E17">
        <v>1</v>
      </c>
      <c r="F17">
        <v>0.67</v>
      </c>
      <c r="G17">
        <v>150</v>
      </c>
      <c r="H17">
        <v>0.8</v>
      </c>
      <c r="I17">
        <v>300</v>
      </c>
      <c r="J17">
        <v>0.67</v>
      </c>
      <c r="K17">
        <v>425</v>
      </c>
      <c r="M17">
        <v>1</v>
      </c>
      <c r="N17">
        <v>0.8</v>
      </c>
      <c r="O17">
        <v>300</v>
      </c>
    </row>
    <row r="18" spans="1:31" x14ac:dyDescent="0.2">
      <c r="A18" t="s">
        <v>427</v>
      </c>
      <c r="C18" t="s">
        <v>418</v>
      </c>
      <c r="D18" s="29">
        <f t="shared" si="0"/>
        <v>1</v>
      </c>
      <c r="E18">
        <v>1</v>
      </c>
      <c r="F18">
        <v>0.64</v>
      </c>
      <c r="G18">
        <v>40</v>
      </c>
      <c r="L18" s="29" t="s">
        <v>556</v>
      </c>
      <c r="M18">
        <v>1</v>
      </c>
      <c r="N18">
        <v>0.91</v>
      </c>
      <c r="O18">
        <v>150</v>
      </c>
    </row>
    <row r="19" spans="1:31" x14ac:dyDescent="0.2">
      <c r="A19" t="s">
        <v>428</v>
      </c>
      <c r="C19" t="s">
        <v>346</v>
      </c>
      <c r="D19" s="29">
        <f t="shared" si="0"/>
        <v>1</v>
      </c>
      <c r="E19">
        <v>1</v>
      </c>
      <c r="F19">
        <v>0.67</v>
      </c>
      <c r="G19">
        <v>80</v>
      </c>
      <c r="H19">
        <v>0.8</v>
      </c>
      <c r="I19">
        <v>150</v>
      </c>
      <c r="R19">
        <v>1</v>
      </c>
      <c r="S19">
        <v>2</v>
      </c>
      <c r="T19">
        <v>300</v>
      </c>
      <c r="AC19">
        <v>1</v>
      </c>
      <c r="AD19" t="s">
        <v>541</v>
      </c>
      <c r="AE19">
        <v>2719</v>
      </c>
    </row>
    <row r="20" spans="1:31" x14ac:dyDescent="0.2">
      <c r="A20" t="s">
        <v>429</v>
      </c>
      <c r="B20" t="s">
        <v>424</v>
      </c>
      <c r="C20" t="s">
        <v>425</v>
      </c>
      <c r="D20" s="29">
        <f t="shared" si="0"/>
        <v>1</v>
      </c>
      <c r="E20">
        <v>1</v>
      </c>
      <c r="F20">
        <v>0.67</v>
      </c>
      <c r="G20">
        <v>100</v>
      </c>
      <c r="M20">
        <v>1</v>
      </c>
      <c r="N20">
        <v>0.82</v>
      </c>
      <c r="O20">
        <v>500</v>
      </c>
      <c r="P20">
        <v>0.94</v>
      </c>
      <c r="Q20">
        <v>800</v>
      </c>
      <c r="W20">
        <v>1</v>
      </c>
      <c r="Y20">
        <v>400</v>
      </c>
    </row>
    <row r="21" spans="1:31" x14ac:dyDescent="0.2">
      <c r="A21" t="s">
        <v>430</v>
      </c>
      <c r="C21" t="s">
        <v>431</v>
      </c>
      <c r="D21" s="29" t="str">
        <f t="shared" si="0"/>
        <v/>
      </c>
    </row>
    <row r="22" spans="1:31" x14ac:dyDescent="0.2">
      <c r="A22" t="s">
        <v>432</v>
      </c>
      <c r="C22" t="s">
        <v>433</v>
      </c>
      <c r="D22" s="29">
        <f t="shared" si="0"/>
        <v>1</v>
      </c>
      <c r="E22">
        <v>1</v>
      </c>
      <c r="F22">
        <v>0.67</v>
      </c>
      <c r="G22">
        <v>100</v>
      </c>
      <c r="M22">
        <v>1</v>
      </c>
      <c r="N22">
        <v>0.82</v>
      </c>
      <c r="O22">
        <v>500</v>
      </c>
      <c r="R22">
        <v>1</v>
      </c>
      <c r="S22">
        <v>2</v>
      </c>
      <c r="T22">
        <v>400</v>
      </c>
      <c r="W22">
        <v>1</v>
      </c>
      <c r="X22">
        <v>0.82</v>
      </c>
      <c r="Y22">
        <v>300</v>
      </c>
    </row>
    <row r="23" spans="1:31" x14ac:dyDescent="0.2">
      <c r="A23" t="s">
        <v>434</v>
      </c>
      <c r="C23" t="s">
        <v>435</v>
      </c>
      <c r="D23" s="29">
        <f t="shared" si="0"/>
        <v>1</v>
      </c>
      <c r="E23">
        <v>1</v>
      </c>
      <c r="F23">
        <v>0.67</v>
      </c>
      <c r="G23">
        <v>100</v>
      </c>
      <c r="M23">
        <v>1</v>
      </c>
      <c r="N23">
        <v>0.82</v>
      </c>
      <c r="O23">
        <v>300</v>
      </c>
      <c r="P23">
        <v>0.94</v>
      </c>
      <c r="Q23">
        <v>500</v>
      </c>
    </row>
    <row r="24" spans="1:31" x14ac:dyDescent="0.2">
      <c r="A24" t="s">
        <v>436</v>
      </c>
      <c r="C24" t="s">
        <v>437</v>
      </c>
      <c r="D24" s="29">
        <f t="shared" si="0"/>
        <v>1</v>
      </c>
      <c r="E24">
        <v>1</v>
      </c>
      <c r="F24">
        <v>0.67</v>
      </c>
      <c r="G24">
        <v>75</v>
      </c>
      <c r="M24">
        <v>1</v>
      </c>
      <c r="N24">
        <v>0.82</v>
      </c>
      <c r="O24">
        <v>100</v>
      </c>
    </row>
    <row r="25" spans="1:31" x14ac:dyDescent="0.2">
      <c r="A25" t="s">
        <v>438</v>
      </c>
      <c r="C25" t="s">
        <v>439</v>
      </c>
      <c r="D25" s="29">
        <f t="shared" si="0"/>
        <v>1</v>
      </c>
      <c r="E25">
        <v>1</v>
      </c>
      <c r="F25">
        <v>0.67</v>
      </c>
      <c r="G25">
        <v>100</v>
      </c>
      <c r="H25">
        <v>0.8</v>
      </c>
      <c r="I25">
        <v>400</v>
      </c>
      <c r="M25">
        <v>1</v>
      </c>
      <c r="N25">
        <v>0.82</v>
      </c>
      <c r="O25">
        <v>300</v>
      </c>
      <c r="R25">
        <v>1</v>
      </c>
      <c r="S25">
        <v>2</v>
      </c>
      <c r="T25">
        <v>500</v>
      </c>
    </row>
    <row r="26" spans="1:31" x14ac:dyDescent="0.2">
      <c r="A26" t="s">
        <v>440</v>
      </c>
      <c r="C26" t="s">
        <v>414</v>
      </c>
      <c r="D26" s="29">
        <f t="shared" si="0"/>
        <v>1</v>
      </c>
      <c r="E26">
        <v>1</v>
      </c>
      <c r="F26">
        <v>0.62</v>
      </c>
      <c r="G26">
        <v>200</v>
      </c>
      <c r="M26">
        <v>1</v>
      </c>
      <c r="N26">
        <v>0.67</v>
      </c>
      <c r="O26">
        <v>300</v>
      </c>
    </row>
    <row r="27" spans="1:31" x14ac:dyDescent="0.2">
      <c r="A27" t="s">
        <v>441</v>
      </c>
      <c r="C27" t="s">
        <v>437</v>
      </c>
      <c r="D27" s="29">
        <f t="shared" si="0"/>
        <v>1</v>
      </c>
      <c r="E27">
        <v>1</v>
      </c>
      <c r="F27">
        <v>0.67</v>
      </c>
      <c r="G27">
        <v>75</v>
      </c>
      <c r="M27">
        <v>1</v>
      </c>
      <c r="N27">
        <v>0.82</v>
      </c>
      <c r="O27">
        <v>100</v>
      </c>
    </row>
    <row r="28" spans="1:31" x14ac:dyDescent="0.2">
      <c r="A28" t="s">
        <v>442</v>
      </c>
      <c r="C28" t="s">
        <v>414</v>
      </c>
      <c r="D28" s="29" t="str">
        <f t="shared" si="0"/>
        <v/>
      </c>
    </row>
    <row r="29" spans="1:31" x14ac:dyDescent="0.2">
      <c r="A29" t="s">
        <v>443</v>
      </c>
      <c r="C29" t="s">
        <v>444</v>
      </c>
      <c r="D29" s="29">
        <f t="shared" si="0"/>
        <v>1</v>
      </c>
      <c r="R29">
        <v>1</v>
      </c>
      <c r="S29">
        <v>2</v>
      </c>
      <c r="T29">
        <v>300</v>
      </c>
    </row>
    <row r="30" spans="1:31" x14ac:dyDescent="0.2">
      <c r="A30" t="s">
        <v>445</v>
      </c>
      <c r="C30" t="s">
        <v>446</v>
      </c>
      <c r="D30" s="29" t="str">
        <f t="shared" si="0"/>
        <v/>
      </c>
    </row>
    <row r="31" spans="1:31" x14ac:dyDescent="0.2">
      <c r="A31" t="s">
        <v>447</v>
      </c>
      <c r="C31" t="s">
        <v>420</v>
      </c>
      <c r="D31" s="29">
        <f t="shared" si="0"/>
        <v>1</v>
      </c>
      <c r="E31">
        <v>1</v>
      </c>
      <c r="F31">
        <v>0.67</v>
      </c>
      <c r="G31">
        <v>125</v>
      </c>
      <c r="R31">
        <v>1</v>
      </c>
      <c r="S31" t="s">
        <v>525</v>
      </c>
      <c r="T31">
        <v>150</v>
      </c>
      <c r="U31" t="s">
        <v>526</v>
      </c>
      <c r="V31">
        <v>500</v>
      </c>
    </row>
    <row r="32" spans="1:31" x14ac:dyDescent="0.2">
      <c r="A32" t="s">
        <v>447</v>
      </c>
      <c r="C32" t="s">
        <v>418</v>
      </c>
      <c r="D32" s="29">
        <f t="shared" si="0"/>
        <v>1</v>
      </c>
      <c r="E32">
        <v>1</v>
      </c>
      <c r="F32">
        <v>0.62</v>
      </c>
      <c r="G32">
        <v>35</v>
      </c>
      <c r="H32">
        <v>0.67</v>
      </c>
      <c r="I32">
        <v>150</v>
      </c>
      <c r="L32" s="29" t="s">
        <v>556</v>
      </c>
    </row>
    <row r="33" spans="1:28" x14ac:dyDescent="0.2">
      <c r="A33" t="s">
        <v>448</v>
      </c>
      <c r="C33" t="s">
        <v>449</v>
      </c>
      <c r="D33" s="29" t="str">
        <f t="shared" si="0"/>
        <v/>
      </c>
    </row>
    <row r="34" spans="1:28" x14ac:dyDescent="0.2">
      <c r="A34" t="s">
        <v>450</v>
      </c>
      <c r="C34" t="s">
        <v>451</v>
      </c>
      <c r="D34" s="29">
        <f t="shared" si="0"/>
        <v>1</v>
      </c>
      <c r="E34">
        <v>1</v>
      </c>
      <c r="F34">
        <v>0.67</v>
      </c>
      <c r="G34">
        <v>200</v>
      </c>
      <c r="H34">
        <v>0.8</v>
      </c>
      <c r="I34">
        <v>1000</v>
      </c>
      <c r="M34">
        <v>1</v>
      </c>
      <c r="N34">
        <v>0.82</v>
      </c>
      <c r="O34">
        <v>400</v>
      </c>
      <c r="P34">
        <v>0.9</v>
      </c>
      <c r="Q34">
        <v>500</v>
      </c>
      <c r="Z34">
        <v>1</v>
      </c>
      <c r="AA34">
        <v>0.9</v>
      </c>
      <c r="AB34">
        <v>50</v>
      </c>
    </row>
    <row r="35" spans="1:28" x14ac:dyDescent="0.2">
      <c r="A35" t="s">
        <v>452</v>
      </c>
      <c r="C35" t="s">
        <v>453</v>
      </c>
      <c r="D35" s="29">
        <f t="shared" si="0"/>
        <v>1</v>
      </c>
      <c r="M35">
        <v>1</v>
      </c>
      <c r="N35">
        <v>0.82</v>
      </c>
      <c r="O35">
        <v>250</v>
      </c>
    </row>
    <row r="36" spans="1:28" x14ac:dyDescent="0.2">
      <c r="A36" t="s">
        <v>454</v>
      </c>
      <c r="C36" t="s">
        <v>406</v>
      </c>
      <c r="D36" s="29">
        <f t="shared" si="0"/>
        <v>1</v>
      </c>
      <c r="E36">
        <v>1</v>
      </c>
      <c r="F36">
        <v>0.64</v>
      </c>
      <c r="G36">
        <v>85</v>
      </c>
      <c r="H36">
        <v>0.67</v>
      </c>
      <c r="I36">
        <v>100</v>
      </c>
      <c r="M36">
        <v>1</v>
      </c>
      <c r="N36">
        <v>0.82</v>
      </c>
      <c r="O36">
        <v>250</v>
      </c>
    </row>
    <row r="37" spans="1:28" x14ac:dyDescent="0.2">
      <c r="A37" t="s">
        <v>455</v>
      </c>
      <c r="B37" t="s">
        <v>424</v>
      </c>
      <c r="C37" t="s">
        <v>425</v>
      </c>
      <c r="D37" s="29">
        <f t="shared" si="0"/>
        <v>1</v>
      </c>
      <c r="E37">
        <v>1</v>
      </c>
      <c r="F37">
        <v>0.67</v>
      </c>
      <c r="G37">
        <v>100</v>
      </c>
      <c r="M37">
        <v>1</v>
      </c>
      <c r="N37">
        <v>0.82</v>
      </c>
      <c r="O37">
        <v>500</v>
      </c>
      <c r="P37">
        <v>0.94</v>
      </c>
      <c r="Q37">
        <v>800</v>
      </c>
      <c r="W37">
        <v>1</v>
      </c>
      <c r="Y37">
        <v>400</v>
      </c>
    </row>
    <row r="38" spans="1:28" x14ac:dyDescent="0.2">
      <c r="A38" t="s">
        <v>456</v>
      </c>
      <c r="C38" t="s">
        <v>405</v>
      </c>
      <c r="D38" s="29">
        <f t="shared" si="0"/>
        <v>1</v>
      </c>
      <c r="R38">
        <v>1</v>
      </c>
      <c r="S38">
        <v>2</v>
      </c>
      <c r="T38">
        <v>500</v>
      </c>
      <c r="U38">
        <v>2.2999999999999998</v>
      </c>
      <c r="V38">
        <v>1500</v>
      </c>
    </row>
    <row r="39" spans="1:28" x14ac:dyDescent="0.2">
      <c r="A39" t="s">
        <v>456</v>
      </c>
      <c r="C39" t="s">
        <v>408</v>
      </c>
      <c r="D39" s="29">
        <f t="shared" si="0"/>
        <v>1</v>
      </c>
      <c r="R39">
        <v>1</v>
      </c>
      <c r="S39">
        <v>2</v>
      </c>
      <c r="T39">
        <v>500</v>
      </c>
      <c r="U39">
        <v>2.2999999999999998</v>
      </c>
      <c r="V39">
        <v>1500</v>
      </c>
    </row>
    <row r="40" spans="1:28" x14ac:dyDescent="0.2">
      <c r="A40" t="s">
        <v>457</v>
      </c>
      <c r="C40" t="s">
        <v>458</v>
      </c>
      <c r="D40" s="29">
        <f t="shared" si="0"/>
        <v>1</v>
      </c>
      <c r="E40">
        <v>1</v>
      </c>
      <c r="F40">
        <v>0.67</v>
      </c>
      <c r="G40">
        <v>100</v>
      </c>
      <c r="M40">
        <v>1</v>
      </c>
      <c r="N40">
        <v>0.67</v>
      </c>
      <c r="O40">
        <v>100</v>
      </c>
    </row>
    <row r="41" spans="1:28" x14ac:dyDescent="0.2">
      <c r="A41" t="s">
        <v>457</v>
      </c>
      <c r="C41" t="s">
        <v>459</v>
      </c>
      <c r="D41" s="29">
        <f t="shared" si="0"/>
        <v>1</v>
      </c>
      <c r="E41">
        <v>1</v>
      </c>
      <c r="F41">
        <v>0.67</v>
      </c>
      <c r="G41">
        <v>100</v>
      </c>
      <c r="M41">
        <v>1</v>
      </c>
      <c r="N41">
        <v>0.67</v>
      </c>
      <c r="O41">
        <v>100</v>
      </c>
    </row>
    <row r="42" spans="1:28" x14ac:dyDescent="0.2">
      <c r="A42" t="s">
        <v>460</v>
      </c>
      <c r="B42" t="s">
        <v>461</v>
      </c>
      <c r="C42" t="s">
        <v>462</v>
      </c>
      <c r="D42" s="29">
        <f t="shared" si="0"/>
        <v>1</v>
      </c>
      <c r="E42">
        <v>1</v>
      </c>
      <c r="F42">
        <v>0.67</v>
      </c>
      <c r="G42">
        <v>100</v>
      </c>
      <c r="M42">
        <v>1</v>
      </c>
      <c r="N42">
        <v>0.94</v>
      </c>
      <c r="O42">
        <v>400</v>
      </c>
    </row>
    <row r="43" spans="1:28" x14ac:dyDescent="0.2">
      <c r="A43" t="s">
        <v>460</v>
      </c>
      <c r="B43" t="s">
        <v>463</v>
      </c>
      <c r="C43" t="s">
        <v>433</v>
      </c>
      <c r="D43" s="29">
        <f t="shared" si="0"/>
        <v>1</v>
      </c>
      <c r="W43">
        <v>1</v>
      </c>
      <c r="X43">
        <v>0.85</v>
      </c>
      <c r="Y43">
        <v>210</v>
      </c>
    </row>
    <row r="44" spans="1:28" x14ac:dyDescent="0.2">
      <c r="A44" t="s">
        <v>460</v>
      </c>
      <c r="B44" t="s">
        <v>464</v>
      </c>
      <c r="C44" t="s">
        <v>433</v>
      </c>
      <c r="D44" s="29">
        <f t="shared" si="0"/>
        <v>1</v>
      </c>
      <c r="W44">
        <v>1</v>
      </c>
      <c r="X44">
        <v>0.85</v>
      </c>
      <c r="Y44">
        <v>300</v>
      </c>
    </row>
    <row r="45" spans="1:28" x14ac:dyDescent="0.2">
      <c r="A45" t="s">
        <v>460</v>
      </c>
      <c r="B45" t="s">
        <v>424</v>
      </c>
      <c r="C45" t="s">
        <v>425</v>
      </c>
      <c r="D45" s="29">
        <f t="shared" si="0"/>
        <v>1</v>
      </c>
      <c r="E45">
        <v>1</v>
      </c>
      <c r="F45">
        <v>0.67</v>
      </c>
      <c r="G45">
        <v>100</v>
      </c>
      <c r="M45">
        <v>1</v>
      </c>
      <c r="N45">
        <v>0.82</v>
      </c>
      <c r="O45">
        <v>500</v>
      </c>
      <c r="P45">
        <v>0.94</v>
      </c>
      <c r="Q45">
        <v>800</v>
      </c>
      <c r="W45">
        <v>1</v>
      </c>
      <c r="Y45">
        <v>400</v>
      </c>
    </row>
    <row r="46" spans="1:28" x14ac:dyDescent="0.2">
      <c r="A46" t="s">
        <v>460</v>
      </c>
      <c r="B46" t="s">
        <v>465</v>
      </c>
      <c r="C46" t="s">
        <v>433</v>
      </c>
      <c r="D46" s="29">
        <f t="shared" si="0"/>
        <v>1</v>
      </c>
      <c r="W46">
        <v>1</v>
      </c>
      <c r="X46">
        <v>0.85</v>
      </c>
      <c r="Y46">
        <v>225</v>
      </c>
    </row>
    <row r="47" spans="1:28" x14ac:dyDescent="0.2">
      <c r="A47" t="s">
        <v>466</v>
      </c>
      <c r="C47" t="s">
        <v>467</v>
      </c>
      <c r="D47" s="29">
        <f t="shared" si="0"/>
        <v>1</v>
      </c>
      <c r="E47">
        <v>1</v>
      </c>
      <c r="F47">
        <v>0.67</v>
      </c>
      <c r="G47">
        <v>500</v>
      </c>
      <c r="M47">
        <v>1</v>
      </c>
      <c r="N47">
        <v>0.82</v>
      </c>
      <c r="O47">
        <v>500</v>
      </c>
      <c r="R47">
        <v>1</v>
      </c>
      <c r="S47">
        <v>2</v>
      </c>
      <c r="T47">
        <v>500</v>
      </c>
    </row>
    <row r="48" spans="1:28" x14ac:dyDescent="0.2">
      <c r="A48" t="s">
        <v>468</v>
      </c>
      <c r="C48" t="s">
        <v>467</v>
      </c>
      <c r="D48" s="29" t="str">
        <f t="shared" si="0"/>
        <v/>
      </c>
    </row>
    <row r="49" spans="1:31" x14ac:dyDescent="0.2">
      <c r="A49" t="s">
        <v>469</v>
      </c>
      <c r="B49" t="s">
        <v>470</v>
      </c>
      <c r="C49" t="s">
        <v>471</v>
      </c>
      <c r="D49" s="29">
        <f t="shared" si="0"/>
        <v>1</v>
      </c>
      <c r="M49">
        <v>1</v>
      </c>
      <c r="N49">
        <v>0.82</v>
      </c>
      <c r="O49">
        <v>300</v>
      </c>
    </row>
    <row r="50" spans="1:31" x14ac:dyDescent="0.2">
      <c r="A50" t="s">
        <v>469</v>
      </c>
      <c r="B50" t="s">
        <v>472</v>
      </c>
      <c r="C50" t="s">
        <v>471</v>
      </c>
      <c r="D50" s="29">
        <f t="shared" si="0"/>
        <v>1</v>
      </c>
      <c r="M50">
        <v>1</v>
      </c>
      <c r="N50">
        <v>0.82</v>
      </c>
      <c r="O50">
        <v>375</v>
      </c>
    </row>
    <row r="51" spans="1:31" x14ac:dyDescent="0.2">
      <c r="A51" t="s">
        <v>473</v>
      </c>
      <c r="C51" t="s">
        <v>408</v>
      </c>
      <c r="D51" s="29" t="str">
        <f t="shared" si="0"/>
        <v/>
      </c>
    </row>
    <row r="52" spans="1:31" x14ac:dyDescent="0.2">
      <c r="A52" t="s">
        <v>474</v>
      </c>
      <c r="C52" t="s">
        <v>475</v>
      </c>
      <c r="D52" s="29">
        <f t="shared" si="0"/>
        <v>1</v>
      </c>
      <c r="R52">
        <v>1</v>
      </c>
      <c r="S52">
        <v>2</v>
      </c>
      <c r="T52">
        <v>300</v>
      </c>
    </row>
    <row r="53" spans="1:31" x14ac:dyDescent="0.2">
      <c r="A53" t="s">
        <v>476</v>
      </c>
      <c r="B53" t="s">
        <v>424</v>
      </c>
      <c r="C53" t="s">
        <v>425</v>
      </c>
      <c r="D53" s="29">
        <f t="shared" si="0"/>
        <v>1</v>
      </c>
      <c r="E53">
        <v>1</v>
      </c>
      <c r="F53">
        <v>0.67</v>
      </c>
      <c r="G53">
        <v>100</v>
      </c>
      <c r="M53">
        <v>1</v>
      </c>
      <c r="N53">
        <v>0.82</v>
      </c>
      <c r="O53">
        <v>500</v>
      </c>
      <c r="P53">
        <v>0.94</v>
      </c>
      <c r="Q53">
        <v>800</v>
      </c>
      <c r="W53">
        <v>1</v>
      </c>
      <c r="Y53">
        <v>400</v>
      </c>
    </row>
    <row r="54" spans="1:31" x14ac:dyDescent="0.2">
      <c r="A54" t="s">
        <v>477</v>
      </c>
      <c r="C54" t="s">
        <v>478</v>
      </c>
      <c r="D54" s="29" t="str">
        <f t="shared" si="0"/>
        <v/>
      </c>
    </row>
    <row r="55" spans="1:31" x14ac:dyDescent="0.2">
      <c r="A55" t="s">
        <v>479</v>
      </c>
      <c r="C55" t="s">
        <v>433</v>
      </c>
      <c r="D55" s="29" t="str">
        <f t="shared" si="0"/>
        <v/>
      </c>
    </row>
    <row r="56" spans="1:31" x14ac:dyDescent="0.2">
      <c r="A56" t="s">
        <v>480</v>
      </c>
      <c r="C56" t="s">
        <v>346</v>
      </c>
      <c r="D56" s="29">
        <f t="shared" si="0"/>
        <v>1</v>
      </c>
      <c r="E56">
        <v>1</v>
      </c>
      <c r="F56">
        <v>0.67</v>
      </c>
      <c r="G56">
        <v>200</v>
      </c>
      <c r="R56">
        <v>1</v>
      </c>
      <c r="S56">
        <v>2</v>
      </c>
      <c r="T56">
        <v>500</v>
      </c>
    </row>
    <row r="57" spans="1:31" x14ac:dyDescent="0.2">
      <c r="A57" t="s">
        <v>481</v>
      </c>
      <c r="C57" t="s">
        <v>482</v>
      </c>
      <c r="D57" s="29">
        <f t="shared" si="0"/>
        <v>1</v>
      </c>
      <c r="E57">
        <v>1</v>
      </c>
      <c r="F57">
        <v>0.67</v>
      </c>
      <c r="G57">
        <v>50</v>
      </c>
      <c r="R57">
        <v>1</v>
      </c>
      <c r="S57">
        <v>2.2999999999999998</v>
      </c>
      <c r="T57">
        <v>400</v>
      </c>
    </row>
    <row r="58" spans="1:31" x14ac:dyDescent="0.2">
      <c r="A58" t="s">
        <v>483</v>
      </c>
      <c r="C58" t="s">
        <v>418</v>
      </c>
      <c r="D58" s="29">
        <f t="shared" si="0"/>
        <v>1</v>
      </c>
      <c r="R58">
        <v>1</v>
      </c>
      <c r="S58" t="s">
        <v>525</v>
      </c>
      <c r="T58">
        <v>500</v>
      </c>
      <c r="U58" t="s">
        <v>526</v>
      </c>
      <c r="V58">
        <v>800</v>
      </c>
    </row>
    <row r="59" spans="1:31" x14ac:dyDescent="0.2">
      <c r="A59" t="s">
        <v>484</v>
      </c>
      <c r="C59" t="s">
        <v>485</v>
      </c>
      <c r="D59" s="29">
        <f t="shared" si="0"/>
        <v>1</v>
      </c>
      <c r="E59">
        <v>1</v>
      </c>
      <c r="F59">
        <v>0.62</v>
      </c>
      <c r="G59">
        <v>50</v>
      </c>
      <c r="H59">
        <v>0.67</v>
      </c>
      <c r="I59">
        <v>100</v>
      </c>
      <c r="J59">
        <v>0.9</v>
      </c>
      <c r="K59">
        <v>350</v>
      </c>
      <c r="M59">
        <v>1</v>
      </c>
      <c r="N59">
        <v>0.82</v>
      </c>
      <c r="O59">
        <v>300</v>
      </c>
      <c r="P59">
        <v>0.9</v>
      </c>
      <c r="Q59">
        <v>350</v>
      </c>
      <c r="Z59">
        <v>1</v>
      </c>
      <c r="AA59">
        <v>0.9</v>
      </c>
      <c r="AB59">
        <v>350</v>
      </c>
      <c r="AC59">
        <v>1</v>
      </c>
      <c r="AD59" t="s">
        <v>541</v>
      </c>
      <c r="AE59">
        <v>750</v>
      </c>
    </row>
    <row r="60" spans="1:31" x14ac:dyDescent="0.2">
      <c r="A60" t="s">
        <v>484</v>
      </c>
      <c r="C60" t="s">
        <v>486</v>
      </c>
      <c r="D60" s="29">
        <f t="shared" si="0"/>
        <v>1</v>
      </c>
      <c r="E60">
        <v>1</v>
      </c>
      <c r="F60">
        <v>0.62</v>
      </c>
      <c r="G60">
        <v>50</v>
      </c>
      <c r="H60">
        <v>0.67</v>
      </c>
      <c r="I60">
        <v>100</v>
      </c>
      <c r="J60">
        <v>0.9</v>
      </c>
      <c r="K60">
        <v>350</v>
      </c>
      <c r="M60">
        <v>1</v>
      </c>
      <c r="N60">
        <v>0.82</v>
      </c>
      <c r="O60">
        <v>300</v>
      </c>
      <c r="P60">
        <v>0.9</v>
      </c>
      <c r="Q60">
        <v>350</v>
      </c>
      <c r="Z60">
        <v>1</v>
      </c>
      <c r="AA60">
        <v>0.9</v>
      </c>
      <c r="AB60">
        <v>350</v>
      </c>
      <c r="AC60">
        <v>1</v>
      </c>
      <c r="AD60" t="s">
        <v>541</v>
      </c>
      <c r="AE60">
        <v>750</v>
      </c>
    </row>
    <row r="61" spans="1:31" x14ac:dyDescent="0.2">
      <c r="A61" t="s">
        <v>484</v>
      </c>
      <c r="C61" t="s">
        <v>419</v>
      </c>
      <c r="D61" s="29">
        <f t="shared" si="0"/>
        <v>1</v>
      </c>
      <c r="E61">
        <v>1</v>
      </c>
      <c r="F61">
        <v>0.62</v>
      </c>
      <c r="G61">
        <v>50</v>
      </c>
      <c r="H61">
        <v>0.67</v>
      </c>
      <c r="I61">
        <v>100</v>
      </c>
      <c r="J61">
        <v>0.9</v>
      </c>
      <c r="K61">
        <v>350</v>
      </c>
      <c r="M61">
        <v>1</v>
      </c>
      <c r="N61">
        <v>0.82</v>
      </c>
      <c r="O61">
        <v>300</v>
      </c>
      <c r="P61">
        <v>0.9</v>
      </c>
      <c r="Q61">
        <v>350</v>
      </c>
      <c r="Z61">
        <v>1</v>
      </c>
      <c r="AA61">
        <v>0.9</v>
      </c>
      <c r="AB61">
        <v>350</v>
      </c>
      <c r="AC61">
        <v>1</v>
      </c>
      <c r="AD61" t="s">
        <v>541</v>
      </c>
      <c r="AE61">
        <v>750</v>
      </c>
    </row>
    <row r="62" spans="1:31" x14ac:dyDescent="0.2">
      <c r="A62" t="s">
        <v>487</v>
      </c>
      <c r="C62" t="s">
        <v>346</v>
      </c>
      <c r="D62" s="29">
        <f t="shared" si="0"/>
        <v>1</v>
      </c>
      <c r="E62">
        <v>1</v>
      </c>
      <c r="F62">
        <v>0.67</v>
      </c>
      <c r="G62">
        <v>100</v>
      </c>
      <c r="R62">
        <v>1</v>
      </c>
      <c r="S62">
        <v>2</v>
      </c>
      <c r="T62">
        <v>250</v>
      </c>
    </row>
    <row r="63" spans="1:31" x14ac:dyDescent="0.2">
      <c r="A63" t="s">
        <v>488</v>
      </c>
      <c r="C63" t="s">
        <v>489</v>
      </c>
      <c r="D63" s="29">
        <f t="shared" si="0"/>
        <v>1</v>
      </c>
      <c r="E63">
        <v>1</v>
      </c>
      <c r="F63">
        <v>0.62</v>
      </c>
      <c r="G63">
        <v>50</v>
      </c>
      <c r="M63">
        <v>1</v>
      </c>
      <c r="N63">
        <v>0.82</v>
      </c>
      <c r="O63">
        <v>500</v>
      </c>
    </row>
    <row r="64" spans="1:31" x14ac:dyDescent="0.2">
      <c r="A64" t="s">
        <v>488</v>
      </c>
      <c r="C64" t="s">
        <v>415</v>
      </c>
      <c r="D64" s="29">
        <f t="shared" si="0"/>
        <v>1</v>
      </c>
      <c r="M64">
        <v>1</v>
      </c>
      <c r="N64">
        <v>0.82</v>
      </c>
      <c r="O64">
        <v>300</v>
      </c>
    </row>
    <row r="65" spans="1:31" x14ac:dyDescent="0.2">
      <c r="A65" t="s">
        <v>488</v>
      </c>
      <c r="C65" t="s">
        <v>490</v>
      </c>
      <c r="D65" s="29">
        <f t="shared" si="0"/>
        <v>1</v>
      </c>
      <c r="E65">
        <v>1</v>
      </c>
      <c r="G65">
        <v>75</v>
      </c>
      <c r="H65">
        <v>0.62</v>
      </c>
      <c r="I65">
        <v>150</v>
      </c>
    </row>
    <row r="66" spans="1:31" x14ac:dyDescent="0.2">
      <c r="A66" t="s">
        <v>491</v>
      </c>
      <c r="C66" t="s">
        <v>467</v>
      </c>
      <c r="D66" s="29" t="str">
        <f t="shared" si="0"/>
        <v/>
      </c>
    </row>
    <row r="67" spans="1:31" x14ac:dyDescent="0.2">
      <c r="A67" t="s">
        <v>492</v>
      </c>
      <c r="C67" t="s">
        <v>346</v>
      </c>
      <c r="D67" s="29">
        <f t="shared" si="0"/>
        <v>1</v>
      </c>
      <c r="E67">
        <v>1</v>
      </c>
      <c r="F67">
        <v>0.67</v>
      </c>
      <c r="G67">
        <v>100</v>
      </c>
      <c r="M67">
        <v>1</v>
      </c>
      <c r="N67">
        <v>0.82</v>
      </c>
      <c r="O67">
        <v>150</v>
      </c>
      <c r="P67">
        <v>0.9</v>
      </c>
      <c r="Q67">
        <v>200</v>
      </c>
    </row>
    <row r="68" spans="1:31" x14ac:dyDescent="0.2">
      <c r="A68" t="s">
        <v>493</v>
      </c>
      <c r="C68" t="s">
        <v>435</v>
      </c>
      <c r="D68" s="29">
        <f t="shared" ref="D68:D81" si="1">IF(OR(E68=1,M68=1,R68=1,W68=1,Z68=1,AC68=1),1,"")</f>
        <v>1</v>
      </c>
      <c r="E68">
        <v>1</v>
      </c>
      <c r="F68">
        <v>0.67</v>
      </c>
      <c r="G68">
        <v>100</v>
      </c>
      <c r="M68">
        <v>1</v>
      </c>
      <c r="N68">
        <v>0.82</v>
      </c>
      <c r="O68">
        <v>300</v>
      </c>
      <c r="P68">
        <v>0.94</v>
      </c>
      <c r="Q68">
        <v>500</v>
      </c>
    </row>
    <row r="69" spans="1:31" x14ac:dyDescent="0.2">
      <c r="A69" t="s">
        <v>494</v>
      </c>
      <c r="B69" t="s">
        <v>495</v>
      </c>
      <c r="C69" t="s">
        <v>478</v>
      </c>
      <c r="D69" s="29">
        <f t="shared" si="1"/>
        <v>1</v>
      </c>
      <c r="M69">
        <v>1</v>
      </c>
      <c r="N69">
        <v>0.9</v>
      </c>
      <c r="O69">
        <v>350</v>
      </c>
      <c r="AC69">
        <v>1</v>
      </c>
      <c r="AD69" t="s">
        <v>542</v>
      </c>
      <c r="AE69">
        <v>3000</v>
      </c>
    </row>
    <row r="70" spans="1:31" x14ac:dyDescent="0.2">
      <c r="A70" t="s">
        <v>494</v>
      </c>
      <c r="B70" t="s">
        <v>496</v>
      </c>
      <c r="C70" t="s">
        <v>497</v>
      </c>
      <c r="D70" s="29">
        <f t="shared" si="1"/>
        <v>1</v>
      </c>
      <c r="AC70">
        <v>1</v>
      </c>
      <c r="AD70" t="s">
        <v>543</v>
      </c>
      <c r="AE70">
        <v>4000</v>
      </c>
    </row>
    <row r="71" spans="1:31" x14ac:dyDescent="0.2">
      <c r="A71" t="s">
        <v>494</v>
      </c>
      <c r="B71" t="s">
        <v>498</v>
      </c>
      <c r="C71" t="s">
        <v>346</v>
      </c>
      <c r="D71" s="29" t="str">
        <f t="shared" si="1"/>
        <v/>
      </c>
    </row>
    <row r="72" spans="1:31" x14ac:dyDescent="0.2">
      <c r="A72" t="s">
        <v>494</v>
      </c>
      <c r="B72" t="s">
        <v>499</v>
      </c>
      <c r="C72" t="s">
        <v>346</v>
      </c>
      <c r="D72" s="29" t="str">
        <f t="shared" si="1"/>
        <v/>
      </c>
    </row>
    <row r="73" spans="1:31" x14ac:dyDescent="0.2">
      <c r="A73" t="s">
        <v>500</v>
      </c>
      <c r="C73" t="s">
        <v>501</v>
      </c>
      <c r="D73" s="29">
        <f t="shared" si="1"/>
        <v>1</v>
      </c>
      <c r="E73">
        <v>1</v>
      </c>
      <c r="F73">
        <v>0.82</v>
      </c>
      <c r="G73">
        <v>200</v>
      </c>
      <c r="M73">
        <v>1</v>
      </c>
      <c r="N73">
        <v>0.82</v>
      </c>
      <c r="O73">
        <v>200</v>
      </c>
    </row>
    <row r="74" spans="1:31" x14ac:dyDescent="0.2">
      <c r="A74" t="s">
        <v>502</v>
      </c>
      <c r="B74" t="s">
        <v>424</v>
      </c>
      <c r="C74" t="s">
        <v>425</v>
      </c>
      <c r="D74" s="29">
        <f t="shared" si="1"/>
        <v>1</v>
      </c>
      <c r="E74">
        <v>1</v>
      </c>
      <c r="F74">
        <v>0.67</v>
      </c>
      <c r="G74">
        <v>100</v>
      </c>
      <c r="M74">
        <v>1</v>
      </c>
      <c r="N74">
        <v>0.82</v>
      </c>
      <c r="O74">
        <v>500</v>
      </c>
      <c r="P74">
        <v>0.94</v>
      </c>
      <c r="Q74">
        <v>800</v>
      </c>
      <c r="W74">
        <v>1</v>
      </c>
      <c r="Y74">
        <v>400</v>
      </c>
    </row>
    <row r="75" spans="1:31" x14ac:dyDescent="0.2">
      <c r="A75" t="s">
        <v>502</v>
      </c>
      <c r="B75" t="s">
        <v>424</v>
      </c>
      <c r="C75" t="s">
        <v>503</v>
      </c>
      <c r="D75" s="29">
        <f t="shared" si="1"/>
        <v>1</v>
      </c>
      <c r="E75">
        <v>1</v>
      </c>
      <c r="F75">
        <v>0.67</v>
      </c>
      <c r="G75">
        <v>100</v>
      </c>
      <c r="M75">
        <v>1</v>
      </c>
      <c r="N75">
        <v>0.82</v>
      </c>
      <c r="O75">
        <v>500</v>
      </c>
      <c r="P75">
        <v>0.94</v>
      </c>
      <c r="Q75">
        <v>800</v>
      </c>
      <c r="R75">
        <v>1</v>
      </c>
      <c r="S75">
        <v>2.2999999999999998</v>
      </c>
      <c r="T75">
        <v>500</v>
      </c>
      <c r="U75">
        <v>2.2999999999999998</v>
      </c>
      <c r="V75">
        <v>600</v>
      </c>
      <c r="W75">
        <v>1</v>
      </c>
      <c r="Y75">
        <v>400</v>
      </c>
    </row>
    <row r="76" spans="1:31" x14ac:dyDescent="0.2">
      <c r="A76" t="s">
        <v>504</v>
      </c>
      <c r="C76" t="s">
        <v>475</v>
      </c>
      <c r="D76" s="29" t="str">
        <f t="shared" si="1"/>
        <v/>
      </c>
    </row>
    <row r="77" spans="1:31" x14ac:dyDescent="0.2">
      <c r="A77" t="s">
        <v>505</v>
      </c>
      <c r="C77" t="s">
        <v>431</v>
      </c>
      <c r="D77" s="29" t="str">
        <f t="shared" si="1"/>
        <v/>
      </c>
    </row>
    <row r="78" spans="1:31" x14ac:dyDescent="0.2">
      <c r="A78" t="s">
        <v>506</v>
      </c>
      <c r="C78" t="s">
        <v>446</v>
      </c>
      <c r="D78" s="29">
        <f t="shared" si="1"/>
        <v>1</v>
      </c>
      <c r="E78">
        <v>1</v>
      </c>
      <c r="F78">
        <v>0.62</v>
      </c>
      <c r="G78">
        <v>100</v>
      </c>
      <c r="M78">
        <v>1</v>
      </c>
      <c r="N78">
        <v>0.82</v>
      </c>
      <c r="O78">
        <v>100</v>
      </c>
      <c r="W78">
        <v>1</v>
      </c>
      <c r="X78">
        <v>0.87</v>
      </c>
      <c r="Y78">
        <v>100</v>
      </c>
    </row>
    <row r="79" spans="1:31" x14ac:dyDescent="0.2">
      <c r="A79" t="s">
        <v>507</v>
      </c>
      <c r="C79" t="s">
        <v>415</v>
      </c>
      <c r="D79" s="29">
        <f t="shared" si="1"/>
        <v>1</v>
      </c>
      <c r="E79">
        <v>1</v>
      </c>
      <c r="F79">
        <v>0.67</v>
      </c>
      <c r="G79">
        <v>70</v>
      </c>
      <c r="M79">
        <v>1</v>
      </c>
      <c r="N79">
        <v>0.9</v>
      </c>
      <c r="O79">
        <v>100</v>
      </c>
      <c r="R79">
        <v>1</v>
      </c>
      <c r="S79" t="s">
        <v>527</v>
      </c>
      <c r="T79">
        <v>450</v>
      </c>
    </row>
    <row r="80" spans="1:31" x14ac:dyDescent="0.2">
      <c r="A80" t="s">
        <v>507</v>
      </c>
      <c r="C80" t="s">
        <v>406</v>
      </c>
      <c r="D80" s="29">
        <f t="shared" si="1"/>
        <v>1</v>
      </c>
      <c r="E80">
        <v>1</v>
      </c>
      <c r="F80">
        <v>0.62</v>
      </c>
      <c r="G80">
        <v>40</v>
      </c>
      <c r="H80">
        <v>0.64</v>
      </c>
      <c r="I80">
        <v>60</v>
      </c>
      <c r="J80">
        <v>0.67</v>
      </c>
      <c r="K80">
        <v>150</v>
      </c>
      <c r="L80" s="29" t="s">
        <v>556</v>
      </c>
      <c r="M80">
        <v>1</v>
      </c>
      <c r="N80">
        <v>0.9</v>
      </c>
      <c r="O80">
        <v>100</v>
      </c>
    </row>
    <row r="81" spans="1:15" x14ac:dyDescent="0.2">
      <c r="A81" t="s">
        <v>508</v>
      </c>
      <c r="B81" t="s">
        <v>509</v>
      </c>
      <c r="C81" t="s">
        <v>435</v>
      </c>
      <c r="D81" s="29">
        <f t="shared" si="1"/>
        <v>1</v>
      </c>
      <c r="E81">
        <v>1</v>
      </c>
      <c r="F81">
        <v>0.67</v>
      </c>
      <c r="G81">
        <v>100</v>
      </c>
      <c r="M81">
        <v>1</v>
      </c>
      <c r="N81">
        <v>0.82</v>
      </c>
      <c r="O81">
        <v>300</v>
      </c>
    </row>
  </sheetData>
  <sheetProtection algorithmName="SHA-512" hashValue="7rrpnEtc3kE9or8WNC6QE+zM7iqO4jYKpy5nOKVIKAwiOq6xm+5CvrTlEx0QaYajMcwOxbZVgdl5U2+2wt9U+A==" saltValue="MEAIKWBAPQDHTmzgA6JvTg==" spinCount="100000" sheet="1" objects="1" scenarios="1" autoFilter="0"/>
  <autoFilter ref="A2:AE2"/>
  <mergeCells count="9">
    <mergeCell ref="AC1:AE1"/>
    <mergeCell ref="B1:B2"/>
    <mergeCell ref="C1:C2"/>
    <mergeCell ref="D1:D2"/>
    <mergeCell ref="E1:K1"/>
    <mergeCell ref="M1:Q1"/>
    <mergeCell ref="R1:V1"/>
    <mergeCell ref="Z1:AB1"/>
    <mergeCell ref="W1:Y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592FF"/>
  </sheetPr>
  <dimension ref="A1:EZ25"/>
  <sheetViews>
    <sheetView workbookViewId="0">
      <pane xSplit="3" ySplit="7" topLeftCell="D8" activePane="bottomRight" state="frozen"/>
      <selection pane="topRight" activeCell="D1" sqref="D1"/>
      <selection pane="bottomLeft" activeCell="A8" sqref="A8"/>
      <selection pane="bottomRight" activeCell="DE7" sqref="DE7"/>
    </sheetView>
  </sheetViews>
  <sheetFormatPr defaultRowHeight="12.75" x14ac:dyDescent="0.2"/>
  <cols>
    <col min="1" max="1" width="8" customWidth="1"/>
    <col min="2" max="2" width="9.140625" style="29" hidden="1" customWidth="1"/>
    <col min="3" max="3" width="31.85546875" customWidth="1"/>
    <col min="4" max="4" width="24.140625" style="29" bestFit="1" customWidth="1"/>
    <col min="5" max="5" width="9.140625" customWidth="1"/>
    <col min="6" max="7" width="10.85546875" style="29" customWidth="1"/>
    <col min="8" max="71" width="11.5703125" style="29" customWidth="1"/>
    <col min="72" max="73" width="9.5703125" style="29" customWidth="1"/>
    <col min="74" max="75" width="9.140625" style="29"/>
    <col min="78" max="78" width="9.140625" customWidth="1"/>
    <col min="80" max="91" width="9.140625" style="29"/>
    <col min="92" max="92" width="10.85546875" style="29" customWidth="1"/>
    <col min="93" max="100" width="9.140625" style="29"/>
    <col min="101" max="101" width="9.85546875" customWidth="1"/>
    <col min="102" max="109" width="9.85546875" style="29" customWidth="1"/>
    <col min="110" max="113" width="9.140625" style="29"/>
    <col min="114" max="114" width="13.85546875" style="29" customWidth="1"/>
    <col min="115" max="115" width="11.85546875" style="29" customWidth="1"/>
    <col min="116" max="116" width="11.5703125" style="29" customWidth="1"/>
    <col min="117" max="117" width="11.140625" style="29" customWidth="1"/>
    <col min="118" max="119" width="9.140625" style="29"/>
    <col min="124" max="141" width="9.140625" style="29"/>
    <col min="143" max="143" width="10.140625" customWidth="1"/>
    <col min="152" max="153" width="9.7109375" style="29" customWidth="1"/>
  </cols>
  <sheetData>
    <row r="1" spans="1:156" s="71" customFormat="1" ht="16.899999999999999" customHeight="1" thickBot="1" x14ac:dyDescent="0.3">
      <c r="A1" s="601" t="s">
        <v>0</v>
      </c>
      <c r="B1" s="601"/>
      <c r="C1" s="601"/>
      <c r="D1" s="601"/>
      <c r="E1" s="602" t="s">
        <v>133</v>
      </c>
      <c r="F1" s="603"/>
      <c r="G1" s="604"/>
      <c r="H1" s="605" t="s">
        <v>176</v>
      </c>
      <c r="I1" s="605"/>
      <c r="J1" s="605"/>
      <c r="K1" s="605"/>
      <c r="L1" s="605"/>
      <c r="M1" s="605"/>
      <c r="N1" s="605"/>
      <c r="O1" s="605"/>
      <c r="P1" s="605"/>
      <c r="Q1" s="605"/>
      <c r="R1" s="605"/>
      <c r="S1" s="605"/>
      <c r="T1" s="605"/>
      <c r="U1" s="605"/>
      <c r="V1" s="605"/>
      <c r="W1" s="605"/>
      <c r="X1" s="605"/>
      <c r="Y1" s="605"/>
      <c r="Z1" s="605"/>
      <c r="AA1" s="605"/>
      <c r="AB1" s="605"/>
      <c r="AC1" s="605"/>
      <c r="AD1" s="605"/>
      <c r="AE1" s="605"/>
      <c r="AF1" s="605"/>
      <c r="AG1" s="605"/>
      <c r="AH1" s="605"/>
      <c r="AI1" s="605"/>
      <c r="AJ1" s="605"/>
      <c r="AK1" s="605"/>
      <c r="AL1" s="605"/>
      <c r="AM1" s="605"/>
      <c r="AN1" s="605"/>
      <c r="AO1" s="605"/>
      <c r="AP1" s="605"/>
      <c r="AQ1" s="605"/>
      <c r="AR1" s="605"/>
      <c r="AS1" s="605"/>
      <c r="AT1" s="605"/>
      <c r="AU1" s="605"/>
      <c r="AV1" s="605"/>
      <c r="AW1" s="605"/>
      <c r="AX1" s="605"/>
      <c r="AY1" s="605"/>
      <c r="AZ1" s="605"/>
      <c r="BA1" s="605"/>
      <c r="BB1" s="605"/>
      <c r="BC1" s="605"/>
      <c r="BD1" s="605"/>
      <c r="BE1" s="605"/>
      <c r="BF1" s="605"/>
      <c r="BG1" s="605"/>
      <c r="BH1" s="605"/>
      <c r="BI1" s="605"/>
      <c r="BJ1" s="605"/>
      <c r="BK1" s="605"/>
      <c r="BL1" s="605"/>
      <c r="BM1" s="605"/>
      <c r="BN1" s="605"/>
      <c r="BO1" s="605"/>
      <c r="BP1" s="605"/>
      <c r="BQ1" s="605"/>
      <c r="BR1" s="605"/>
      <c r="BS1" s="606"/>
      <c r="BT1" s="610" t="s">
        <v>200</v>
      </c>
      <c r="BU1" s="610"/>
      <c r="BV1" s="610"/>
      <c r="BW1" s="610"/>
      <c r="BX1" s="610"/>
      <c r="BY1" s="610"/>
      <c r="BZ1" s="610"/>
      <c r="CA1" s="610"/>
      <c r="CB1" s="610"/>
      <c r="CC1" s="610"/>
      <c r="CD1" s="610"/>
      <c r="CE1" s="610"/>
      <c r="CF1" s="610"/>
      <c r="CG1" s="610"/>
      <c r="CH1" s="610"/>
      <c r="CI1" s="610"/>
      <c r="CJ1" s="610"/>
      <c r="CK1" s="610"/>
      <c r="CL1" s="610"/>
      <c r="CM1" s="610"/>
      <c r="CN1" s="610"/>
      <c r="CO1" s="610"/>
      <c r="CP1" s="610"/>
      <c r="CQ1" s="610"/>
      <c r="CR1" s="610"/>
      <c r="CS1" s="610"/>
      <c r="CT1" s="610"/>
      <c r="CU1" s="610"/>
      <c r="CV1" s="611"/>
      <c r="CW1" s="593" t="s">
        <v>210</v>
      </c>
      <c r="CX1" s="593"/>
      <c r="CY1" s="593"/>
      <c r="CZ1" s="593"/>
      <c r="DA1" s="593"/>
      <c r="DB1" s="593"/>
      <c r="DC1" s="593"/>
      <c r="DD1" s="593"/>
      <c r="DE1" s="593"/>
      <c r="DF1" s="593"/>
      <c r="DG1" s="593"/>
      <c r="DH1" s="593"/>
      <c r="DI1" s="593"/>
      <c r="DJ1" s="593"/>
      <c r="DK1" s="593"/>
      <c r="DL1" s="593"/>
      <c r="DM1" s="593"/>
      <c r="DN1" s="593"/>
      <c r="DO1" s="594"/>
      <c r="DP1" s="595" t="s">
        <v>63</v>
      </c>
      <c r="DQ1" s="596"/>
      <c r="DR1" s="596"/>
      <c r="DS1" s="596"/>
      <c r="DT1" s="596"/>
      <c r="DU1" s="596"/>
      <c r="DV1" s="596"/>
      <c r="DW1" s="596"/>
      <c r="DX1" s="596"/>
      <c r="DY1" s="596"/>
      <c r="DZ1" s="596"/>
      <c r="EA1" s="596"/>
      <c r="EB1" s="597"/>
      <c r="EC1" s="598" t="s">
        <v>217</v>
      </c>
      <c r="ED1" s="599"/>
      <c r="EE1" s="599"/>
      <c r="EF1" s="599"/>
      <c r="EG1" s="599"/>
      <c r="EH1" s="599"/>
      <c r="EI1" s="599"/>
      <c r="EJ1" s="599"/>
      <c r="EK1" s="599"/>
      <c r="EL1" s="599"/>
      <c r="EM1" s="599"/>
      <c r="EN1" s="599"/>
      <c r="EO1" s="599"/>
      <c r="EP1" s="599"/>
      <c r="EQ1" s="599"/>
      <c r="ER1" s="599"/>
      <c r="ES1" s="599"/>
      <c r="ET1" s="599"/>
      <c r="EU1" s="599"/>
      <c r="EV1" s="599"/>
      <c r="EW1" s="599"/>
      <c r="EX1" s="599"/>
      <c r="EY1" s="599"/>
      <c r="EZ1" s="600"/>
    </row>
    <row r="2" spans="1:156" s="2" customFormat="1" ht="16.899999999999999" customHeight="1" x14ac:dyDescent="0.25">
      <c r="A2" s="275"/>
      <c r="B2" s="276"/>
      <c r="C2" s="281" t="s">
        <v>62</v>
      </c>
      <c r="D2" s="228"/>
      <c r="E2" s="360"/>
      <c r="F2" s="361">
        <v>2010</v>
      </c>
      <c r="G2" s="361">
        <v>2010</v>
      </c>
      <c r="H2" s="358"/>
      <c r="I2" s="72">
        <v>2014</v>
      </c>
      <c r="J2" s="72">
        <v>2014</v>
      </c>
      <c r="K2" s="72">
        <v>2014</v>
      </c>
      <c r="L2" s="72">
        <v>2014</v>
      </c>
      <c r="M2" s="72">
        <v>2014</v>
      </c>
      <c r="N2" s="72">
        <v>2014</v>
      </c>
      <c r="O2" s="72">
        <v>2014</v>
      </c>
      <c r="P2" s="72">
        <v>2014</v>
      </c>
      <c r="Q2" s="72">
        <v>2015</v>
      </c>
      <c r="R2" s="72">
        <v>2014</v>
      </c>
      <c r="S2" s="72">
        <v>2015</v>
      </c>
      <c r="T2" s="72">
        <v>2014</v>
      </c>
      <c r="U2" s="72">
        <v>2014</v>
      </c>
      <c r="V2" s="72">
        <v>2014</v>
      </c>
      <c r="W2" s="72">
        <v>2014</v>
      </c>
      <c r="X2" s="72">
        <v>2014</v>
      </c>
      <c r="Y2" s="72">
        <v>2014</v>
      </c>
      <c r="Z2" s="72">
        <v>2014</v>
      </c>
      <c r="AA2" s="357">
        <v>2014</v>
      </c>
      <c r="AB2" s="357">
        <v>2014</v>
      </c>
      <c r="AC2" s="357">
        <v>2014</v>
      </c>
      <c r="AD2" s="357">
        <v>2014</v>
      </c>
      <c r="AE2" s="357">
        <v>2014</v>
      </c>
      <c r="AF2" s="357">
        <v>2014</v>
      </c>
      <c r="AG2" s="357">
        <v>2014</v>
      </c>
      <c r="AH2" s="357">
        <v>2014</v>
      </c>
      <c r="AI2" s="357">
        <v>2014</v>
      </c>
      <c r="AJ2" s="357">
        <v>2014</v>
      </c>
      <c r="AK2" s="357">
        <v>2014</v>
      </c>
      <c r="AL2" s="357">
        <v>2014</v>
      </c>
      <c r="AM2" s="357">
        <v>2014</v>
      </c>
      <c r="AN2" s="357">
        <v>2014</v>
      </c>
      <c r="AO2" s="357">
        <v>2014</v>
      </c>
      <c r="AP2" s="357">
        <v>2014</v>
      </c>
      <c r="AQ2" s="357">
        <v>2014</v>
      </c>
      <c r="AR2" s="357">
        <v>2014</v>
      </c>
      <c r="AS2" s="357">
        <v>2014</v>
      </c>
      <c r="AT2" s="357">
        <v>2014</v>
      </c>
      <c r="AU2" s="357">
        <v>2014</v>
      </c>
      <c r="AV2" s="357">
        <v>2014</v>
      </c>
      <c r="AW2" s="357">
        <v>2014</v>
      </c>
      <c r="AX2" s="357">
        <v>2014</v>
      </c>
      <c r="AY2" s="357">
        <v>2014</v>
      </c>
      <c r="AZ2" s="357">
        <v>2014</v>
      </c>
      <c r="BA2" s="357">
        <v>2014</v>
      </c>
      <c r="BB2" s="357">
        <v>2014</v>
      </c>
      <c r="BC2" s="357">
        <v>2014</v>
      </c>
      <c r="BD2" s="357">
        <v>2014</v>
      </c>
      <c r="BE2" s="357">
        <v>2014</v>
      </c>
      <c r="BF2" s="357">
        <v>2014</v>
      </c>
      <c r="BG2" s="357">
        <v>2014</v>
      </c>
      <c r="BH2" s="357">
        <v>2014</v>
      </c>
      <c r="BI2" s="357">
        <v>2014</v>
      </c>
      <c r="BJ2" s="357">
        <v>2014</v>
      </c>
      <c r="BK2" s="357">
        <v>2014</v>
      </c>
      <c r="BL2" s="357">
        <v>2014</v>
      </c>
      <c r="BM2" s="357">
        <v>2014</v>
      </c>
      <c r="BN2" s="357">
        <v>2014</v>
      </c>
      <c r="BO2" s="357">
        <v>2014</v>
      </c>
      <c r="BP2" s="357">
        <v>2014</v>
      </c>
      <c r="BQ2" s="357">
        <v>2014</v>
      </c>
      <c r="BR2" s="357">
        <v>2014</v>
      </c>
      <c r="BS2" s="357">
        <v>2014</v>
      </c>
      <c r="BT2" s="337">
        <v>2010</v>
      </c>
      <c r="BU2" s="73">
        <v>2010</v>
      </c>
      <c r="BV2" s="73">
        <v>2013</v>
      </c>
      <c r="BW2" s="353"/>
      <c r="BX2" s="348">
        <v>2010</v>
      </c>
      <c r="BY2" s="73">
        <v>2010</v>
      </c>
      <c r="BZ2" s="73">
        <v>2010</v>
      </c>
      <c r="CA2" s="73">
        <v>2010</v>
      </c>
      <c r="CB2" s="73">
        <v>2010</v>
      </c>
      <c r="CC2" s="73">
        <v>2010</v>
      </c>
      <c r="CD2" s="73">
        <v>2010</v>
      </c>
      <c r="CE2" s="73">
        <v>2010</v>
      </c>
      <c r="CF2" s="73">
        <v>2013</v>
      </c>
      <c r="CG2" s="73">
        <v>2013</v>
      </c>
      <c r="CH2" s="73">
        <v>2013</v>
      </c>
      <c r="CI2" s="73">
        <v>2013</v>
      </c>
      <c r="CJ2" s="73">
        <v>2013</v>
      </c>
      <c r="CK2" s="73">
        <v>2013</v>
      </c>
      <c r="CL2" s="73">
        <v>2013</v>
      </c>
      <c r="CM2" s="73">
        <v>2013</v>
      </c>
      <c r="CN2" s="73">
        <v>2013</v>
      </c>
      <c r="CO2" s="73">
        <v>2013</v>
      </c>
      <c r="CP2" s="73">
        <v>2013</v>
      </c>
      <c r="CQ2" s="73">
        <v>2013</v>
      </c>
      <c r="CR2" s="73">
        <v>2013</v>
      </c>
      <c r="CS2" s="73">
        <v>2013</v>
      </c>
      <c r="CT2" s="73">
        <v>2013</v>
      </c>
      <c r="CU2" s="73">
        <v>2013</v>
      </c>
      <c r="CV2" s="73">
        <v>2013</v>
      </c>
      <c r="CW2" s="346">
        <v>2003</v>
      </c>
      <c r="CX2" s="346">
        <v>2009</v>
      </c>
      <c r="CY2" s="346">
        <v>2003</v>
      </c>
      <c r="CZ2" s="346">
        <v>2009</v>
      </c>
      <c r="DA2" s="346">
        <v>2003</v>
      </c>
      <c r="DB2" s="346">
        <v>2009</v>
      </c>
      <c r="DC2" s="346">
        <v>2003</v>
      </c>
      <c r="DD2" s="346">
        <v>2009</v>
      </c>
      <c r="DE2" s="75">
        <v>2012</v>
      </c>
      <c r="DF2" s="75">
        <v>2009</v>
      </c>
      <c r="DG2" s="75">
        <v>2010</v>
      </c>
      <c r="DH2" s="75">
        <v>2012</v>
      </c>
      <c r="DI2" s="75">
        <v>2013</v>
      </c>
      <c r="DJ2" s="75">
        <v>2009</v>
      </c>
      <c r="DK2" s="75">
        <v>2010</v>
      </c>
      <c r="DL2" s="75">
        <v>2009</v>
      </c>
      <c r="DM2" s="75">
        <v>2010</v>
      </c>
      <c r="DN2" s="75">
        <v>2012</v>
      </c>
      <c r="DO2" s="75">
        <v>2013</v>
      </c>
      <c r="DP2" s="234">
        <v>2010</v>
      </c>
      <c r="DQ2" s="220">
        <v>2010</v>
      </c>
      <c r="DR2" s="220">
        <v>2010</v>
      </c>
      <c r="DS2" s="220">
        <v>2010</v>
      </c>
      <c r="DT2" s="220">
        <v>2013</v>
      </c>
      <c r="DU2" s="220">
        <v>2013</v>
      </c>
      <c r="DV2" s="220">
        <v>2013</v>
      </c>
      <c r="DW2" s="231">
        <v>2013</v>
      </c>
      <c r="DX2" s="319">
        <v>2014</v>
      </c>
      <c r="DY2" s="320">
        <v>2014</v>
      </c>
      <c r="DZ2" s="320">
        <v>2014</v>
      </c>
      <c r="EA2" s="320">
        <v>2014</v>
      </c>
      <c r="EB2" s="231">
        <v>2014</v>
      </c>
      <c r="EC2" s="441">
        <v>2015</v>
      </c>
      <c r="ED2" s="442">
        <v>2015</v>
      </c>
      <c r="EE2" s="442">
        <v>2015</v>
      </c>
      <c r="EF2" s="442">
        <v>2015</v>
      </c>
      <c r="EG2" s="442">
        <v>2015</v>
      </c>
      <c r="EH2" s="442">
        <v>2015</v>
      </c>
      <c r="EI2" s="442">
        <v>2015</v>
      </c>
      <c r="EJ2" s="442">
        <v>2015</v>
      </c>
      <c r="EK2" s="238">
        <v>2015</v>
      </c>
      <c r="EL2" s="237">
        <v>2010</v>
      </c>
      <c r="EM2" s="223">
        <v>2010</v>
      </c>
      <c r="EN2" s="223">
        <v>2010</v>
      </c>
      <c r="EO2" s="223">
        <v>2010</v>
      </c>
      <c r="EP2" s="223">
        <v>2010</v>
      </c>
      <c r="EQ2" s="223">
        <v>2010</v>
      </c>
      <c r="ER2" s="223">
        <v>2010</v>
      </c>
      <c r="ES2" s="238">
        <v>2010</v>
      </c>
      <c r="ET2" s="223">
        <v>2015</v>
      </c>
      <c r="EU2" s="223">
        <v>2015</v>
      </c>
      <c r="EV2" s="223">
        <v>2015</v>
      </c>
      <c r="EW2" s="223">
        <v>2015</v>
      </c>
      <c r="EX2" s="223">
        <v>2015</v>
      </c>
      <c r="EY2" s="223">
        <v>2015</v>
      </c>
      <c r="EZ2" s="238">
        <v>2015</v>
      </c>
    </row>
    <row r="3" spans="1:156" s="2" customFormat="1" ht="16.899999999999999" customHeight="1" x14ac:dyDescent="0.25">
      <c r="A3" s="277"/>
      <c r="B3" s="278"/>
      <c r="C3" s="262" t="s">
        <v>116</v>
      </c>
      <c r="D3" s="229"/>
      <c r="E3" s="360"/>
      <c r="F3" s="361" t="s">
        <v>68</v>
      </c>
      <c r="G3" s="361" t="s">
        <v>68</v>
      </c>
      <c r="H3" s="358"/>
      <c r="I3" s="72" t="s">
        <v>67</v>
      </c>
      <c r="J3" s="72" t="s">
        <v>67</v>
      </c>
      <c r="K3" s="72" t="s">
        <v>67</v>
      </c>
      <c r="L3" s="72" t="s">
        <v>67</v>
      </c>
      <c r="M3" s="72" t="s">
        <v>67</v>
      </c>
      <c r="N3" s="86" t="s">
        <v>67</v>
      </c>
      <c r="O3" s="86" t="s">
        <v>67</v>
      </c>
      <c r="P3" s="86" t="s">
        <v>67</v>
      </c>
      <c r="Q3" s="86" t="s">
        <v>67</v>
      </c>
      <c r="R3" s="86" t="s">
        <v>67</v>
      </c>
      <c r="S3" s="86" t="s">
        <v>67</v>
      </c>
      <c r="T3" s="86" t="s">
        <v>67</v>
      </c>
      <c r="U3" s="86" t="s">
        <v>67</v>
      </c>
      <c r="V3" s="86" t="s">
        <v>67</v>
      </c>
      <c r="W3" s="86" t="s">
        <v>67</v>
      </c>
      <c r="X3" s="86" t="s">
        <v>67</v>
      </c>
      <c r="Y3" s="86" t="s">
        <v>67</v>
      </c>
      <c r="Z3" s="86" t="s">
        <v>67</v>
      </c>
      <c r="AA3" s="344" t="s">
        <v>361</v>
      </c>
      <c r="AB3" s="344" t="s">
        <v>361</v>
      </c>
      <c r="AC3" s="344" t="s">
        <v>361</v>
      </c>
      <c r="AD3" s="344" t="s">
        <v>361</v>
      </c>
      <c r="AE3" s="344" t="s">
        <v>361</v>
      </c>
      <c r="AF3" s="344" t="s">
        <v>361</v>
      </c>
      <c r="AG3" s="344" t="s">
        <v>361</v>
      </c>
      <c r="AH3" s="344" t="s">
        <v>361</v>
      </c>
      <c r="AI3" s="344" t="s">
        <v>361</v>
      </c>
      <c r="AJ3" s="344" t="s">
        <v>361</v>
      </c>
      <c r="AK3" s="344" t="s">
        <v>361</v>
      </c>
      <c r="AL3" s="344" t="s">
        <v>361</v>
      </c>
      <c r="AM3" s="344" t="s">
        <v>361</v>
      </c>
      <c r="AN3" s="344" t="s">
        <v>361</v>
      </c>
      <c r="AO3" s="344" t="s">
        <v>361</v>
      </c>
      <c r="AP3" s="344" t="s">
        <v>362</v>
      </c>
      <c r="AQ3" s="344" t="s">
        <v>362</v>
      </c>
      <c r="AR3" s="344" t="s">
        <v>362</v>
      </c>
      <c r="AS3" s="344" t="s">
        <v>362</v>
      </c>
      <c r="AT3" s="344" t="s">
        <v>362</v>
      </c>
      <c r="AU3" s="344" t="s">
        <v>362</v>
      </c>
      <c r="AV3" s="344" t="s">
        <v>362</v>
      </c>
      <c r="AW3" s="344" t="s">
        <v>362</v>
      </c>
      <c r="AX3" s="344" t="s">
        <v>362</v>
      </c>
      <c r="AY3" s="344" t="s">
        <v>362</v>
      </c>
      <c r="AZ3" s="344" t="s">
        <v>362</v>
      </c>
      <c r="BA3" s="344" t="s">
        <v>362</v>
      </c>
      <c r="BB3" s="344" t="s">
        <v>362</v>
      </c>
      <c r="BC3" s="344" t="s">
        <v>362</v>
      </c>
      <c r="BD3" s="344" t="s">
        <v>362</v>
      </c>
      <c r="BE3" s="344" t="s">
        <v>369</v>
      </c>
      <c r="BF3" s="344" t="s">
        <v>369</v>
      </c>
      <c r="BG3" s="344" t="s">
        <v>369</v>
      </c>
      <c r="BH3" s="344" t="s">
        <v>369</v>
      </c>
      <c r="BI3" s="344" t="s">
        <v>369</v>
      </c>
      <c r="BJ3" s="344" t="s">
        <v>369</v>
      </c>
      <c r="BK3" s="344" t="s">
        <v>369</v>
      </c>
      <c r="BL3" s="344" t="s">
        <v>369</v>
      </c>
      <c r="BM3" s="344" t="s">
        <v>369</v>
      </c>
      <c r="BN3" s="344" t="s">
        <v>369</v>
      </c>
      <c r="BO3" s="344" t="s">
        <v>369</v>
      </c>
      <c r="BP3" s="344" t="s">
        <v>369</v>
      </c>
      <c r="BQ3" s="344" t="s">
        <v>369</v>
      </c>
      <c r="BR3" s="344" t="s">
        <v>369</v>
      </c>
      <c r="BS3" s="344" t="s">
        <v>369</v>
      </c>
      <c r="BT3" s="338" t="s">
        <v>68</v>
      </c>
      <c r="BU3" s="98" t="s">
        <v>68</v>
      </c>
      <c r="BV3" s="98" t="s">
        <v>67</v>
      </c>
      <c r="BW3" s="354"/>
      <c r="BX3" s="349" t="s">
        <v>67</v>
      </c>
      <c r="BY3" s="98" t="s">
        <v>67</v>
      </c>
      <c r="BZ3" s="98" t="s">
        <v>67</v>
      </c>
      <c r="CA3" s="98" t="s">
        <v>67</v>
      </c>
      <c r="CB3" s="98" t="s">
        <v>67</v>
      </c>
      <c r="CC3" s="98" t="s">
        <v>67</v>
      </c>
      <c r="CD3" s="98" t="s">
        <v>67</v>
      </c>
      <c r="CE3" s="98" t="s">
        <v>67</v>
      </c>
      <c r="CF3" s="98" t="s">
        <v>67</v>
      </c>
      <c r="CG3" s="98" t="s">
        <v>67</v>
      </c>
      <c r="CH3" s="98" t="s">
        <v>67</v>
      </c>
      <c r="CI3" s="98" t="s">
        <v>67</v>
      </c>
      <c r="CJ3" s="98" t="s">
        <v>67</v>
      </c>
      <c r="CK3" s="98" t="s">
        <v>67</v>
      </c>
      <c r="CL3" s="98" t="s">
        <v>67</v>
      </c>
      <c r="CM3" s="98" t="s">
        <v>67</v>
      </c>
      <c r="CN3" s="74" t="s">
        <v>67</v>
      </c>
      <c r="CO3" s="74" t="s">
        <v>67</v>
      </c>
      <c r="CP3" s="74" t="s">
        <v>67</v>
      </c>
      <c r="CQ3" s="74" t="s">
        <v>67</v>
      </c>
      <c r="CR3" s="74" t="s">
        <v>67</v>
      </c>
      <c r="CS3" s="74" t="s">
        <v>67</v>
      </c>
      <c r="CT3" s="74" t="s">
        <v>67</v>
      </c>
      <c r="CU3" s="74" t="s">
        <v>67</v>
      </c>
      <c r="CV3" s="74" t="s">
        <v>67</v>
      </c>
      <c r="CW3" s="332" t="s">
        <v>67</v>
      </c>
      <c r="CX3" s="332" t="s">
        <v>67</v>
      </c>
      <c r="CY3" s="333" t="s">
        <v>361</v>
      </c>
      <c r="CZ3" s="333" t="s">
        <v>361</v>
      </c>
      <c r="DA3" s="333" t="s">
        <v>362</v>
      </c>
      <c r="DB3" s="333" t="s">
        <v>362</v>
      </c>
      <c r="DC3" s="370" t="s">
        <v>369</v>
      </c>
      <c r="DD3" s="370" t="s">
        <v>369</v>
      </c>
      <c r="DE3" s="465" t="s">
        <v>680</v>
      </c>
      <c r="DF3" s="76" t="s">
        <v>68</v>
      </c>
      <c r="DG3" s="76" t="s">
        <v>68</v>
      </c>
      <c r="DH3" s="76" t="s">
        <v>68</v>
      </c>
      <c r="DI3" s="76" t="s">
        <v>68</v>
      </c>
      <c r="DJ3" s="76" t="s">
        <v>68</v>
      </c>
      <c r="DK3" s="76" t="s">
        <v>68</v>
      </c>
      <c r="DL3" s="76" t="s">
        <v>68</v>
      </c>
      <c r="DM3" s="76" t="s">
        <v>68</v>
      </c>
      <c r="DN3" s="76" t="s">
        <v>68</v>
      </c>
      <c r="DO3" s="76" t="s">
        <v>68</v>
      </c>
      <c r="DP3" s="235" t="s">
        <v>68</v>
      </c>
      <c r="DQ3" s="221" t="s">
        <v>68</v>
      </c>
      <c r="DR3" s="221" t="s">
        <v>68</v>
      </c>
      <c r="DS3" s="221" t="s">
        <v>68</v>
      </c>
      <c r="DT3" s="221" t="s">
        <v>67</v>
      </c>
      <c r="DU3" s="221" t="s">
        <v>67</v>
      </c>
      <c r="DV3" s="221" t="s">
        <v>67</v>
      </c>
      <c r="DW3" s="232" t="s">
        <v>67</v>
      </c>
      <c r="DX3" s="321" t="s">
        <v>346</v>
      </c>
      <c r="DY3" s="322" t="s">
        <v>346</v>
      </c>
      <c r="DZ3" s="322" t="s">
        <v>346</v>
      </c>
      <c r="EA3" s="322" t="s">
        <v>346</v>
      </c>
      <c r="EB3" s="323" t="s">
        <v>346</v>
      </c>
      <c r="EC3" s="443" t="s">
        <v>67</v>
      </c>
      <c r="ED3" s="444" t="s">
        <v>67</v>
      </c>
      <c r="EE3" s="444" t="s">
        <v>361</v>
      </c>
      <c r="EF3" s="444" t="s">
        <v>361</v>
      </c>
      <c r="EG3" s="444" t="s">
        <v>362</v>
      </c>
      <c r="EH3" s="444" t="s">
        <v>362</v>
      </c>
      <c r="EI3" s="444" t="s">
        <v>369</v>
      </c>
      <c r="EJ3" s="444" t="s">
        <v>369</v>
      </c>
      <c r="EK3" s="240"/>
      <c r="EL3" s="239" t="s">
        <v>68</v>
      </c>
      <c r="EM3" s="224" t="s">
        <v>68</v>
      </c>
      <c r="EN3" s="224" t="s">
        <v>68</v>
      </c>
      <c r="EO3" s="224" t="s">
        <v>68</v>
      </c>
      <c r="EP3" s="224" t="s">
        <v>68</v>
      </c>
      <c r="EQ3" s="224" t="s">
        <v>68</v>
      </c>
      <c r="ER3" s="224" t="s">
        <v>68</v>
      </c>
      <c r="ES3" s="240" t="s">
        <v>68</v>
      </c>
      <c r="ET3" s="224" t="s">
        <v>68</v>
      </c>
      <c r="EU3" s="224" t="s">
        <v>68</v>
      </c>
      <c r="EV3" s="224" t="s">
        <v>68</v>
      </c>
      <c r="EW3" s="224" t="s">
        <v>68</v>
      </c>
      <c r="EX3" s="224" t="s">
        <v>68</v>
      </c>
      <c r="EY3" s="224" t="s">
        <v>68</v>
      </c>
      <c r="EZ3" s="240" t="s">
        <v>68</v>
      </c>
    </row>
    <row r="4" spans="1:156" s="2" customFormat="1" ht="16.899999999999999" customHeight="1" x14ac:dyDescent="0.25">
      <c r="A4" s="277"/>
      <c r="B4" s="278"/>
      <c r="C4" s="262" t="s">
        <v>304</v>
      </c>
      <c r="D4" s="229"/>
      <c r="E4" s="360"/>
      <c r="F4" s="362">
        <v>10013</v>
      </c>
      <c r="G4" s="362">
        <v>10013</v>
      </c>
      <c r="H4" s="359"/>
      <c r="I4" s="264" t="s">
        <v>305</v>
      </c>
      <c r="J4" s="264" t="s">
        <v>305</v>
      </c>
      <c r="K4" s="264" t="s">
        <v>305</v>
      </c>
      <c r="L4" s="264" t="s">
        <v>305</v>
      </c>
      <c r="M4" s="264" t="s">
        <v>305</v>
      </c>
      <c r="N4" s="264" t="s">
        <v>305</v>
      </c>
      <c r="O4" s="264" t="s">
        <v>305</v>
      </c>
      <c r="P4" s="264" t="s">
        <v>305</v>
      </c>
      <c r="Q4" s="345" t="s">
        <v>305</v>
      </c>
      <c r="R4" s="264" t="s">
        <v>305</v>
      </c>
      <c r="S4" s="345" t="s">
        <v>305</v>
      </c>
      <c r="T4" s="264" t="s">
        <v>305</v>
      </c>
      <c r="U4" s="264" t="s">
        <v>305</v>
      </c>
      <c r="V4" s="264" t="s">
        <v>305</v>
      </c>
      <c r="W4" s="264" t="s">
        <v>305</v>
      </c>
      <c r="X4" s="264" t="s">
        <v>305</v>
      </c>
      <c r="Y4" s="264" t="s">
        <v>305</v>
      </c>
      <c r="Z4" s="345" t="s">
        <v>305</v>
      </c>
      <c r="AA4" s="341">
        <v>10020</v>
      </c>
      <c r="AB4" s="341">
        <v>10020</v>
      </c>
      <c r="AC4" s="341">
        <v>10020</v>
      </c>
      <c r="AD4" s="341">
        <v>10020</v>
      </c>
      <c r="AE4" s="341">
        <v>10020</v>
      </c>
      <c r="AF4" s="341">
        <v>10020</v>
      </c>
      <c r="AG4" s="341">
        <v>10020</v>
      </c>
      <c r="AH4" s="341">
        <v>10020</v>
      </c>
      <c r="AI4" s="341">
        <v>10020</v>
      </c>
      <c r="AJ4" s="341">
        <v>10020</v>
      </c>
      <c r="AK4" s="341">
        <v>10020</v>
      </c>
      <c r="AL4" s="341">
        <v>10020</v>
      </c>
      <c r="AM4" s="341">
        <v>10020</v>
      </c>
      <c r="AN4" s="341">
        <v>10020</v>
      </c>
      <c r="AO4" s="341">
        <v>10020</v>
      </c>
      <c r="AP4" s="341">
        <v>10021</v>
      </c>
      <c r="AQ4" s="341">
        <v>10021</v>
      </c>
      <c r="AR4" s="341">
        <v>10021</v>
      </c>
      <c r="AS4" s="341">
        <v>10021</v>
      </c>
      <c r="AT4" s="341">
        <v>10021</v>
      </c>
      <c r="AU4" s="341">
        <v>10021</v>
      </c>
      <c r="AV4" s="341">
        <v>10021</v>
      </c>
      <c r="AW4" s="341">
        <v>10021</v>
      </c>
      <c r="AX4" s="341">
        <v>10021</v>
      </c>
      <c r="AY4" s="341">
        <v>10021</v>
      </c>
      <c r="AZ4" s="341">
        <v>10021</v>
      </c>
      <c r="BA4" s="341">
        <v>10021</v>
      </c>
      <c r="BB4" s="341">
        <v>10021</v>
      </c>
      <c r="BC4" s="341">
        <v>10021</v>
      </c>
      <c r="BD4" s="341">
        <v>10021</v>
      </c>
      <c r="BE4" s="341">
        <v>10022</v>
      </c>
      <c r="BF4" s="341">
        <v>10022</v>
      </c>
      <c r="BG4" s="341">
        <v>10022</v>
      </c>
      <c r="BH4" s="341">
        <v>10022</v>
      </c>
      <c r="BI4" s="341">
        <v>10022</v>
      </c>
      <c r="BJ4" s="341">
        <v>10022</v>
      </c>
      <c r="BK4" s="341">
        <v>10022</v>
      </c>
      <c r="BL4" s="341">
        <v>10022</v>
      </c>
      <c r="BM4" s="341">
        <v>10022</v>
      </c>
      <c r="BN4" s="341">
        <v>10022</v>
      </c>
      <c r="BO4" s="341">
        <v>10022</v>
      </c>
      <c r="BP4" s="341">
        <v>10022</v>
      </c>
      <c r="BQ4" s="341">
        <v>10022</v>
      </c>
      <c r="BR4" s="341">
        <v>10022</v>
      </c>
      <c r="BS4" s="341">
        <v>10022</v>
      </c>
      <c r="BT4" s="282">
        <v>10004</v>
      </c>
      <c r="BU4" s="265">
        <v>10004</v>
      </c>
      <c r="BV4" s="265">
        <v>10002</v>
      </c>
      <c r="BW4" s="355"/>
      <c r="BX4" s="350">
        <v>10005</v>
      </c>
      <c r="BY4" s="265">
        <v>10005</v>
      </c>
      <c r="BZ4" s="265">
        <v>10005</v>
      </c>
      <c r="CA4" s="265">
        <v>10005</v>
      </c>
      <c r="CB4" s="265">
        <v>10005</v>
      </c>
      <c r="CC4" s="282">
        <v>10005</v>
      </c>
      <c r="CD4" s="282">
        <v>10005</v>
      </c>
      <c r="CE4" s="282">
        <v>10005</v>
      </c>
      <c r="CF4" s="265">
        <v>10002</v>
      </c>
      <c r="CG4" s="265">
        <v>10002</v>
      </c>
      <c r="CH4" s="265">
        <v>10002</v>
      </c>
      <c r="CI4" s="265">
        <v>10002</v>
      </c>
      <c r="CJ4" s="265">
        <v>10002</v>
      </c>
      <c r="CK4" s="282">
        <v>10002</v>
      </c>
      <c r="CL4" s="282">
        <v>10002</v>
      </c>
      <c r="CM4" s="282">
        <v>10002</v>
      </c>
      <c r="CN4" s="271">
        <v>10002</v>
      </c>
      <c r="CO4" s="271">
        <v>10002</v>
      </c>
      <c r="CP4" s="271">
        <v>10002</v>
      </c>
      <c r="CQ4" s="271">
        <v>10002</v>
      </c>
      <c r="CR4" s="271">
        <v>10002</v>
      </c>
      <c r="CS4" s="283">
        <v>10002</v>
      </c>
      <c r="CT4" s="283">
        <v>10002</v>
      </c>
      <c r="CU4" s="283">
        <v>10002</v>
      </c>
      <c r="CV4" s="283">
        <v>10002</v>
      </c>
      <c r="CW4" s="334">
        <v>10006</v>
      </c>
      <c r="CX4" s="335">
        <v>10007</v>
      </c>
      <c r="CY4" s="334">
        <v>10006</v>
      </c>
      <c r="CZ4" s="335">
        <v>10007</v>
      </c>
      <c r="DA4" s="334">
        <v>10006</v>
      </c>
      <c r="DB4" s="335">
        <v>10007</v>
      </c>
      <c r="DC4" s="334">
        <v>10006</v>
      </c>
      <c r="DD4" s="335">
        <v>10007</v>
      </c>
      <c r="DE4" s="266">
        <v>10031</v>
      </c>
      <c r="DF4" s="267">
        <v>10003</v>
      </c>
      <c r="DG4" s="266">
        <v>10003</v>
      </c>
      <c r="DH4" s="267">
        <v>10008</v>
      </c>
      <c r="DI4" s="266">
        <v>10009</v>
      </c>
      <c r="DJ4" s="267">
        <v>10003</v>
      </c>
      <c r="DK4" s="266">
        <v>10003</v>
      </c>
      <c r="DL4" s="267">
        <v>10003</v>
      </c>
      <c r="DM4" s="266">
        <v>10003</v>
      </c>
      <c r="DN4" s="267">
        <v>10008</v>
      </c>
      <c r="DO4" s="266">
        <v>10009</v>
      </c>
      <c r="DP4" s="268">
        <v>10004</v>
      </c>
      <c r="DQ4" s="269">
        <v>10004</v>
      </c>
      <c r="DR4" s="269">
        <v>10004</v>
      </c>
      <c r="DS4" s="269">
        <v>10004</v>
      </c>
      <c r="DT4" s="269">
        <v>10002</v>
      </c>
      <c r="DU4" s="269">
        <v>10002</v>
      </c>
      <c r="DV4" s="269">
        <v>10002</v>
      </c>
      <c r="DW4" s="270">
        <v>10002</v>
      </c>
      <c r="DX4" s="324">
        <v>10019</v>
      </c>
      <c r="DY4" s="325">
        <v>10019</v>
      </c>
      <c r="DZ4" s="325">
        <v>10019</v>
      </c>
      <c r="EA4" s="325">
        <v>10019</v>
      </c>
      <c r="EB4" s="270">
        <v>10019</v>
      </c>
      <c r="EC4" s="445">
        <v>10029</v>
      </c>
      <c r="ED4" s="446">
        <v>10029</v>
      </c>
      <c r="EE4" s="446">
        <v>10029</v>
      </c>
      <c r="EF4" s="446">
        <v>10029</v>
      </c>
      <c r="EG4" s="446">
        <v>10029</v>
      </c>
      <c r="EH4" s="446">
        <v>10029</v>
      </c>
      <c r="EI4" s="446">
        <v>10029</v>
      </c>
      <c r="EJ4" s="446">
        <v>10029</v>
      </c>
      <c r="EK4" s="274">
        <v>10029</v>
      </c>
      <c r="EL4" s="272">
        <v>10001</v>
      </c>
      <c r="EM4" s="273">
        <v>10001</v>
      </c>
      <c r="EN4" s="273">
        <v>10001</v>
      </c>
      <c r="EO4" s="273">
        <v>10001</v>
      </c>
      <c r="EP4" s="273">
        <v>10001</v>
      </c>
      <c r="EQ4" s="273">
        <v>10001</v>
      </c>
      <c r="ER4" s="273">
        <v>10001</v>
      </c>
      <c r="ES4" s="274">
        <v>10001</v>
      </c>
      <c r="ET4" s="273">
        <v>10018</v>
      </c>
      <c r="EU4" s="273">
        <v>10018</v>
      </c>
      <c r="EV4" s="273">
        <v>10018</v>
      </c>
      <c r="EW4" s="273">
        <v>10018</v>
      </c>
      <c r="EX4" s="273">
        <v>10018</v>
      </c>
      <c r="EY4" s="273">
        <v>10018</v>
      </c>
      <c r="EZ4" s="274">
        <v>10018</v>
      </c>
    </row>
    <row r="5" spans="1:156" s="1" customFormat="1" ht="49.5" customHeight="1" x14ac:dyDescent="0.2">
      <c r="A5" s="279"/>
      <c r="B5" s="280"/>
      <c r="C5" s="263" t="s">
        <v>135</v>
      </c>
      <c r="D5" s="230"/>
      <c r="E5" s="366"/>
      <c r="F5" s="227"/>
      <c r="G5" s="367"/>
      <c r="H5" s="363"/>
      <c r="I5" s="87" t="s">
        <v>160</v>
      </c>
      <c r="J5" s="87" t="s">
        <v>160</v>
      </c>
      <c r="K5" s="87" t="s">
        <v>160</v>
      </c>
      <c r="L5" s="87" t="s">
        <v>160</v>
      </c>
      <c r="M5" s="87" t="s">
        <v>168</v>
      </c>
      <c r="N5" s="87"/>
      <c r="O5" s="87"/>
      <c r="P5" s="87" t="s">
        <v>169</v>
      </c>
      <c r="Q5" s="87" t="s">
        <v>169</v>
      </c>
      <c r="R5" s="87" t="s">
        <v>169</v>
      </c>
      <c r="S5" s="87" t="s">
        <v>169</v>
      </c>
      <c r="T5" s="87" t="s">
        <v>169</v>
      </c>
      <c r="U5" s="87" t="s">
        <v>154</v>
      </c>
      <c r="V5" s="87" t="s">
        <v>154</v>
      </c>
      <c r="W5" s="87" t="s">
        <v>154</v>
      </c>
      <c r="X5" s="87" t="s">
        <v>154</v>
      </c>
      <c r="Y5" s="87" t="s">
        <v>154</v>
      </c>
      <c r="Z5" s="87" t="s">
        <v>154</v>
      </c>
      <c r="AA5" s="342" t="s">
        <v>370</v>
      </c>
      <c r="AB5" s="342" t="s">
        <v>168</v>
      </c>
      <c r="AC5" s="342"/>
      <c r="AD5" s="342"/>
      <c r="AE5" s="342" t="s">
        <v>169</v>
      </c>
      <c r="AF5" s="342" t="s">
        <v>169</v>
      </c>
      <c r="AG5" s="342" t="s">
        <v>169</v>
      </c>
      <c r="AH5" s="342" t="s">
        <v>169</v>
      </c>
      <c r="AI5" s="342" t="s">
        <v>169</v>
      </c>
      <c r="AJ5" s="87" t="s">
        <v>154</v>
      </c>
      <c r="AK5" s="87" t="s">
        <v>154</v>
      </c>
      <c r="AL5" s="87" t="s">
        <v>154</v>
      </c>
      <c r="AM5" s="87" t="s">
        <v>154</v>
      </c>
      <c r="AN5" s="87" t="s">
        <v>154</v>
      </c>
      <c r="AO5" s="87" t="s">
        <v>154</v>
      </c>
      <c r="AP5" s="342" t="s">
        <v>370</v>
      </c>
      <c r="AQ5" s="342" t="s">
        <v>168</v>
      </c>
      <c r="AR5" s="342"/>
      <c r="AS5" s="342"/>
      <c r="AT5" s="342" t="s">
        <v>169</v>
      </c>
      <c r="AU5" s="342" t="s">
        <v>169</v>
      </c>
      <c r="AV5" s="342" t="s">
        <v>169</v>
      </c>
      <c r="AW5" s="342" t="s">
        <v>169</v>
      </c>
      <c r="AX5" s="342" t="s">
        <v>169</v>
      </c>
      <c r="AY5" s="87" t="s">
        <v>154</v>
      </c>
      <c r="AZ5" s="87" t="s">
        <v>154</v>
      </c>
      <c r="BA5" s="87" t="s">
        <v>154</v>
      </c>
      <c r="BB5" s="87" t="s">
        <v>154</v>
      </c>
      <c r="BC5" s="87" t="s">
        <v>154</v>
      </c>
      <c r="BD5" s="87" t="s">
        <v>154</v>
      </c>
      <c r="BE5" s="342" t="s">
        <v>370</v>
      </c>
      <c r="BF5" s="342" t="s">
        <v>168</v>
      </c>
      <c r="BG5" s="342"/>
      <c r="BH5" s="342"/>
      <c r="BI5" s="342" t="s">
        <v>169</v>
      </c>
      <c r="BJ5" s="342" t="s">
        <v>169</v>
      </c>
      <c r="BK5" s="342" t="s">
        <v>169</v>
      </c>
      <c r="BL5" s="342" t="s">
        <v>169</v>
      </c>
      <c r="BM5" s="342" t="s">
        <v>169</v>
      </c>
      <c r="BN5" s="87" t="s">
        <v>380</v>
      </c>
      <c r="BO5" s="87"/>
      <c r="BP5" s="87" t="s">
        <v>380</v>
      </c>
      <c r="BQ5" s="87"/>
      <c r="BR5" s="87" t="s">
        <v>380</v>
      </c>
      <c r="BS5" s="342"/>
      <c r="BT5" s="339"/>
      <c r="BU5" s="99"/>
      <c r="BV5" s="99"/>
      <c r="BW5" s="356"/>
      <c r="BX5" s="351" t="s">
        <v>173</v>
      </c>
      <c r="BY5" s="99" t="s">
        <v>173</v>
      </c>
      <c r="BZ5" s="99" t="s">
        <v>173</v>
      </c>
      <c r="CA5" s="99" t="s">
        <v>173</v>
      </c>
      <c r="CB5" s="607" t="s">
        <v>201</v>
      </c>
      <c r="CC5" s="608"/>
      <c r="CD5" s="608"/>
      <c r="CE5" s="609"/>
      <c r="CF5" s="100" t="s">
        <v>174</v>
      </c>
      <c r="CG5" s="100" t="s">
        <v>174</v>
      </c>
      <c r="CH5" s="100" t="s">
        <v>174</v>
      </c>
      <c r="CI5" s="100" t="s">
        <v>174</v>
      </c>
      <c r="CJ5" s="607" t="s">
        <v>201</v>
      </c>
      <c r="CK5" s="608"/>
      <c r="CL5" s="608"/>
      <c r="CM5" s="609"/>
      <c r="CN5" s="112" t="s">
        <v>199</v>
      </c>
      <c r="CO5" s="112" t="s">
        <v>199</v>
      </c>
      <c r="CP5" s="112" t="s">
        <v>199</v>
      </c>
      <c r="CQ5" s="112" t="s">
        <v>199</v>
      </c>
      <c r="CR5" s="607" t="s">
        <v>201</v>
      </c>
      <c r="CS5" s="608"/>
      <c r="CT5" s="608"/>
      <c r="CU5" s="608"/>
      <c r="CV5" s="609"/>
      <c r="CW5" s="585" t="s">
        <v>202</v>
      </c>
      <c r="CX5" s="586"/>
      <c r="CY5" s="585" t="s">
        <v>202</v>
      </c>
      <c r="CZ5" s="586"/>
      <c r="DA5" s="585" t="s">
        <v>202</v>
      </c>
      <c r="DB5" s="586"/>
      <c r="DC5" s="585" t="s">
        <v>202</v>
      </c>
      <c r="DD5" s="586"/>
      <c r="DE5" s="460" t="s">
        <v>202</v>
      </c>
      <c r="DF5" s="592" t="s">
        <v>208</v>
      </c>
      <c r="DG5" s="586"/>
      <c r="DH5" s="592" t="s">
        <v>205</v>
      </c>
      <c r="DI5" s="586"/>
      <c r="DJ5" s="592" t="s">
        <v>211</v>
      </c>
      <c r="DK5" s="586"/>
      <c r="DL5" s="592" t="s">
        <v>209</v>
      </c>
      <c r="DM5" s="586"/>
      <c r="DN5" s="592" t="s">
        <v>206</v>
      </c>
      <c r="DO5" s="585"/>
      <c r="DP5" s="236" t="s">
        <v>169</v>
      </c>
      <c r="DQ5" s="222" t="s">
        <v>169</v>
      </c>
      <c r="DR5" s="222" t="s">
        <v>169</v>
      </c>
      <c r="DS5" s="222" t="s">
        <v>169</v>
      </c>
      <c r="DT5" s="222" t="s">
        <v>169</v>
      </c>
      <c r="DU5" s="222" t="s">
        <v>169</v>
      </c>
      <c r="DV5" s="222" t="s">
        <v>169</v>
      </c>
      <c r="DW5" s="233" t="s">
        <v>307</v>
      </c>
      <c r="DX5" s="326" t="s">
        <v>169</v>
      </c>
      <c r="DY5" s="327" t="s">
        <v>169</v>
      </c>
      <c r="DZ5" s="327" t="s">
        <v>358</v>
      </c>
      <c r="EA5" s="327" t="s">
        <v>358</v>
      </c>
      <c r="EB5" s="233" t="s">
        <v>360</v>
      </c>
      <c r="EC5" s="587" t="s">
        <v>643</v>
      </c>
      <c r="ED5" s="588"/>
      <c r="EE5" s="588"/>
      <c r="EF5" s="588"/>
      <c r="EG5" s="588"/>
      <c r="EH5" s="588"/>
      <c r="EI5" s="588"/>
      <c r="EJ5" s="588"/>
      <c r="EK5" s="591"/>
      <c r="EL5" s="587" t="s">
        <v>644</v>
      </c>
      <c r="EM5" s="588"/>
      <c r="EN5" s="588"/>
      <c r="EO5" s="588"/>
      <c r="EP5" s="588"/>
      <c r="EQ5" s="588"/>
      <c r="ER5" s="589"/>
      <c r="ES5" s="242"/>
      <c r="ET5" s="587" t="s">
        <v>326</v>
      </c>
      <c r="EU5" s="588"/>
      <c r="EV5" s="588"/>
      <c r="EW5" s="589"/>
      <c r="EX5" s="590" t="s">
        <v>323</v>
      </c>
      <c r="EY5" s="588"/>
      <c r="EZ5" s="591"/>
    </row>
    <row r="6" spans="1:156" s="1" customFormat="1" ht="18" hidden="1" customHeight="1" x14ac:dyDescent="0.2">
      <c r="A6" s="226">
        <f>COLUMN()</f>
        <v>1</v>
      </c>
      <c r="B6" s="226">
        <f>COLUMN()</f>
        <v>2</v>
      </c>
      <c r="C6" s="369">
        <f>COLUMN()</f>
        <v>3</v>
      </c>
      <c r="D6" s="368">
        <f>COLUMN()</f>
        <v>4</v>
      </c>
      <c r="E6" s="365">
        <f>COLUMN()</f>
        <v>5</v>
      </c>
      <c r="F6" s="365">
        <f>COLUMN()</f>
        <v>6</v>
      </c>
      <c r="G6" s="365">
        <f>COLUMN()</f>
        <v>7</v>
      </c>
      <c r="H6" s="363">
        <f>COLUMN()</f>
        <v>8</v>
      </c>
      <c r="I6" s="87">
        <f>COLUMN()</f>
        <v>9</v>
      </c>
      <c r="J6" s="87">
        <f>COLUMN()</f>
        <v>10</v>
      </c>
      <c r="K6" s="87">
        <f>COLUMN()</f>
        <v>11</v>
      </c>
      <c r="L6" s="87">
        <f>COLUMN()</f>
        <v>12</v>
      </c>
      <c r="M6" s="87">
        <f>COLUMN()</f>
        <v>13</v>
      </c>
      <c r="N6" s="87">
        <f>COLUMN()</f>
        <v>14</v>
      </c>
      <c r="O6" s="87">
        <f>COLUMN()</f>
        <v>15</v>
      </c>
      <c r="P6" s="87">
        <f>COLUMN()</f>
        <v>16</v>
      </c>
      <c r="Q6" s="87">
        <f>COLUMN()</f>
        <v>17</v>
      </c>
      <c r="R6" s="87">
        <f>COLUMN()</f>
        <v>18</v>
      </c>
      <c r="S6" s="87">
        <f>COLUMN()</f>
        <v>19</v>
      </c>
      <c r="T6" s="87">
        <f>COLUMN()</f>
        <v>20</v>
      </c>
      <c r="U6" s="87">
        <f>COLUMN()</f>
        <v>21</v>
      </c>
      <c r="V6" s="87">
        <f>COLUMN()</f>
        <v>22</v>
      </c>
      <c r="W6" s="87">
        <f>COLUMN()</f>
        <v>23</v>
      </c>
      <c r="X6" s="87">
        <f>COLUMN()</f>
        <v>24</v>
      </c>
      <c r="Y6" s="87">
        <f>COLUMN()</f>
        <v>25</v>
      </c>
      <c r="Z6" s="87">
        <f>COLUMN()</f>
        <v>26</v>
      </c>
      <c r="AA6" s="87">
        <f>COLUMN()</f>
        <v>27</v>
      </c>
      <c r="AB6" s="87">
        <f>COLUMN()</f>
        <v>28</v>
      </c>
      <c r="AC6" s="87">
        <f>COLUMN()</f>
        <v>29</v>
      </c>
      <c r="AD6" s="87">
        <f>COLUMN()</f>
        <v>30</v>
      </c>
      <c r="AE6" s="87">
        <f>COLUMN()</f>
        <v>31</v>
      </c>
      <c r="AF6" s="87"/>
      <c r="AG6" s="87">
        <f>COLUMN()</f>
        <v>33</v>
      </c>
      <c r="AH6" s="87">
        <f>COLUMN()</f>
        <v>34</v>
      </c>
      <c r="AI6" s="87">
        <f>COLUMN()</f>
        <v>35</v>
      </c>
      <c r="AJ6" s="87">
        <f>COLUMN()</f>
        <v>36</v>
      </c>
      <c r="AK6" s="87">
        <f>COLUMN()</f>
        <v>37</v>
      </c>
      <c r="AL6" s="87">
        <f>COLUMN()</f>
        <v>38</v>
      </c>
      <c r="AM6" s="87">
        <f>COLUMN()</f>
        <v>39</v>
      </c>
      <c r="AN6" s="87">
        <f>COLUMN()</f>
        <v>40</v>
      </c>
      <c r="AO6" s="87">
        <f>COLUMN()</f>
        <v>41</v>
      </c>
      <c r="AP6" s="87">
        <f>COLUMN()</f>
        <v>42</v>
      </c>
      <c r="AQ6" s="87">
        <f>COLUMN()</f>
        <v>43</v>
      </c>
      <c r="AR6" s="87">
        <f>COLUMN()</f>
        <v>44</v>
      </c>
      <c r="AS6" s="87">
        <f>COLUMN()</f>
        <v>45</v>
      </c>
      <c r="AT6" s="87">
        <f>COLUMN()</f>
        <v>46</v>
      </c>
      <c r="AU6" s="87">
        <f>COLUMN()</f>
        <v>47</v>
      </c>
      <c r="AV6" s="87">
        <f>COLUMN()</f>
        <v>48</v>
      </c>
      <c r="AW6" s="87">
        <f>COLUMN()</f>
        <v>49</v>
      </c>
      <c r="AX6" s="87">
        <f>COLUMN()</f>
        <v>50</v>
      </c>
      <c r="AY6" s="87">
        <f>COLUMN()</f>
        <v>51</v>
      </c>
      <c r="AZ6" s="87">
        <f>COLUMN()</f>
        <v>52</v>
      </c>
      <c r="BA6" s="87">
        <f>COLUMN()</f>
        <v>53</v>
      </c>
      <c r="BB6" s="87">
        <f>COLUMN()</f>
        <v>54</v>
      </c>
      <c r="BC6" s="87">
        <f>COLUMN()</f>
        <v>55</v>
      </c>
      <c r="BD6" s="87">
        <f>COLUMN()</f>
        <v>56</v>
      </c>
      <c r="BE6" s="87">
        <f>COLUMN()</f>
        <v>57</v>
      </c>
      <c r="BF6" s="87">
        <f>COLUMN()</f>
        <v>58</v>
      </c>
      <c r="BG6" s="87">
        <f>COLUMN()</f>
        <v>59</v>
      </c>
      <c r="BH6" s="87">
        <f>COLUMN()</f>
        <v>60</v>
      </c>
      <c r="BI6" s="87">
        <f>COLUMN()</f>
        <v>61</v>
      </c>
      <c r="BJ6" s="87">
        <f>COLUMN()</f>
        <v>62</v>
      </c>
      <c r="BK6" s="87">
        <f>COLUMN()</f>
        <v>63</v>
      </c>
      <c r="BL6" s="87">
        <f>COLUMN()</f>
        <v>64</v>
      </c>
      <c r="BM6" s="87">
        <f>COLUMN()</f>
        <v>65</v>
      </c>
      <c r="BN6" s="87">
        <f>COLUMN()</f>
        <v>66</v>
      </c>
      <c r="BO6" s="87">
        <f>COLUMN()</f>
        <v>67</v>
      </c>
      <c r="BP6" s="87">
        <f>COLUMN()</f>
        <v>68</v>
      </c>
      <c r="BQ6" s="87">
        <f>COLUMN()</f>
        <v>69</v>
      </c>
      <c r="BR6" s="87">
        <f>COLUMN()</f>
        <v>70</v>
      </c>
      <c r="BS6" s="342">
        <f>COLUMN()</f>
        <v>71</v>
      </c>
      <c r="BT6" s="339">
        <f>COLUMN()</f>
        <v>72</v>
      </c>
      <c r="BU6" s="99">
        <f>COLUMN()</f>
        <v>73</v>
      </c>
      <c r="BV6" s="99">
        <f>COLUMN()</f>
        <v>74</v>
      </c>
      <c r="BW6" s="356">
        <f>COLUMN()</f>
        <v>75</v>
      </c>
      <c r="BX6" s="351">
        <f>COLUMN()</f>
        <v>76</v>
      </c>
      <c r="BY6" s="99">
        <f>COLUMN()</f>
        <v>77</v>
      </c>
      <c r="BZ6" s="99">
        <f>COLUMN()</f>
        <v>78</v>
      </c>
      <c r="CA6" s="99">
        <f>COLUMN()</f>
        <v>79</v>
      </c>
      <c r="CB6" s="112">
        <f>COLUMN()</f>
        <v>80</v>
      </c>
      <c r="CC6" s="113">
        <f>COLUMN()</f>
        <v>81</v>
      </c>
      <c r="CD6" s="113">
        <f>COLUMN()</f>
        <v>82</v>
      </c>
      <c r="CE6" s="113">
        <f>COLUMN()</f>
        <v>83</v>
      </c>
      <c r="CF6" s="100">
        <f>COLUMN()</f>
        <v>84</v>
      </c>
      <c r="CG6" s="100">
        <f>COLUMN()</f>
        <v>85</v>
      </c>
      <c r="CH6" s="100">
        <f>COLUMN()</f>
        <v>86</v>
      </c>
      <c r="CI6" s="100">
        <f>COLUMN()</f>
        <v>87</v>
      </c>
      <c r="CJ6" s="112">
        <f>COLUMN()</f>
        <v>88</v>
      </c>
      <c r="CK6" s="113">
        <f>COLUMN()</f>
        <v>89</v>
      </c>
      <c r="CL6" s="113">
        <f>COLUMN()</f>
        <v>90</v>
      </c>
      <c r="CM6" s="113">
        <f>COLUMN()</f>
        <v>91</v>
      </c>
      <c r="CN6" s="112">
        <f>COLUMN()</f>
        <v>92</v>
      </c>
      <c r="CO6" s="112">
        <f>COLUMN()</f>
        <v>93</v>
      </c>
      <c r="CP6" s="112">
        <f>COLUMN()</f>
        <v>94</v>
      </c>
      <c r="CQ6" s="112">
        <f>COLUMN()</f>
        <v>95</v>
      </c>
      <c r="CR6" s="112">
        <f>COLUMN()</f>
        <v>96</v>
      </c>
      <c r="CS6" s="113">
        <f>COLUMN()</f>
        <v>97</v>
      </c>
      <c r="CT6" s="113">
        <f>COLUMN()</f>
        <v>98</v>
      </c>
      <c r="CU6" s="113">
        <f>COLUMN()</f>
        <v>99</v>
      </c>
      <c r="CV6" s="331">
        <f>COLUMN()</f>
        <v>100</v>
      </c>
      <c r="CW6" s="174">
        <f>COLUMN()</f>
        <v>101</v>
      </c>
      <c r="CX6" s="330">
        <f>COLUMN()</f>
        <v>102</v>
      </c>
      <c r="CY6" s="330">
        <f>COLUMN()</f>
        <v>103</v>
      </c>
      <c r="CZ6" s="330">
        <f>COLUMN()</f>
        <v>104</v>
      </c>
      <c r="DA6" s="330">
        <f>COLUMN()</f>
        <v>105</v>
      </c>
      <c r="DB6" s="330">
        <f>COLUMN()</f>
        <v>106</v>
      </c>
      <c r="DC6" s="330">
        <f>COLUMN()</f>
        <v>107</v>
      </c>
      <c r="DD6" s="330">
        <f>COLUMN()</f>
        <v>108</v>
      </c>
      <c r="DE6" s="461">
        <f>COLUMN()</f>
        <v>109</v>
      </c>
      <c r="DF6" s="111">
        <f>COLUMN()</f>
        <v>110</v>
      </c>
      <c r="DG6" s="174">
        <f>COLUMN()</f>
        <v>111</v>
      </c>
      <c r="DH6" s="111">
        <f>COLUMN()</f>
        <v>112</v>
      </c>
      <c r="DI6" s="174">
        <f>COLUMN()</f>
        <v>113</v>
      </c>
      <c r="DJ6" s="111">
        <f>COLUMN()</f>
        <v>114</v>
      </c>
      <c r="DK6" s="174">
        <f>COLUMN()</f>
        <v>115</v>
      </c>
      <c r="DL6" s="111">
        <f>COLUMN()</f>
        <v>116</v>
      </c>
      <c r="DM6" s="174">
        <f>COLUMN()</f>
        <v>117</v>
      </c>
      <c r="DN6" s="111">
        <f>COLUMN()</f>
        <v>118</v>
      </c>
      <c r="DO6" s="174">
        <f>COLUMN()</f>
        <v>119</v>
      </c>
      <c r="DP6" s="236">
        <f>COLUMN()</f>
        <v>120</v>
      </c>
      <c r="DQ6" s="222">
        <f>COLUMN()</f>
        <v>121</v>
      </c>
      <c r="DR6" s="222">
        <f>COLUMN()</f>
        <v>122</v>
      </c>
      <c r="DS6" s="222">
        <f>COLUMN()</f>
        <v>123</v>
      </c>
      <c r="DT6" s="222">
        <f>COLUMN()</f>
        <v>124</v>
      </c>
      <c r="DU6" s="222">
        <f>COLUMN()</f>
        <v>125</v>
      </c>
      <c r="DV6" s="222">
        <f>COLUMN()</f>
        <v>126</v>
      </c>
      <c r="DW6" s="233">
        <f>COLUMN()</f>
        <v>127</v>
      </c>
      <c r="DX6" s="326">
        <f>COLUMN()</f>
        <v>128</v>
      </c>
      <c r="DY6" s="327">
        <f>COLUMN()</f>
        <v>129</v>
      </c>
      <c r="DZ6" s="327">
        <f>COLUMN()</f>
        <v>130</v>
      </c>
      <c r="EA6" s="327">
        <f>COLUMN()</f>
        <v>131</v>
      </c>
      <c r="EB6" s="233">
        <f>COLUMN()</f>
        <v>132</v>
      </c>
      <c r="EC6" s="447">
        <f>COLUMN()</f>
        <v>133</v>
      </c>
      <c r="ED6" s="448">
        <f>COLUMN()</f>
        <v>134</v>
      </c>
      <c r="EE6" s="448">
        <f>COLUMN()</f>
        <v>135</v>
      </c>
      <c r="EF6" s="448">
        <f>COLUMN()</f>
        <v>136</v>
      </c>
      <c r="EG6" s="448">
        <f>COLUMN()</f>
        <v>137</v>
      </c>
      <c r="EH6" s="448">
        <f>COLUMN()</f>
        <v>138</v>
      </c>
      <c r="EI6" s="448">
        <f>COLUMN()</f>
        <v>139</v>
      </c>
      <c r="EJ6" s="448">
        <f>COLUMN()</f>
        <v>140</v>
      </c>
      <c r="EK6" s="242"/>
      <c r="EL6" s="241">
        <f>COLUMN()</f>
        <v>142</v>
      </c>
      <c r="EM6" s="225">
        <f>COLUMN()</f>
        <v>143</v>
      </c>
      <c r="EN6" s="225">
        <f>COLUMN()</f>
        <v>144</v>
      </c>
      <c r="EO6" s="225">
        <f>COLUMN()</f>
        <v>145</v>
      </c>
      <c r="EP6" s="225">
        <f>COLUMN()</f>
        <v>146</v>
      </c>
      <c r="EQ6" s="225">
        <f>COLUMN()</f>
        <v>147</v>
      </c>
      <c r="ER6" s="225">
        <f>COLUMN()</f>
        <v>148</v>
      </c>
      <c r="ES6" s="242">
        <f>COLUMN()</f>
        <v>149</v>
      </c>
      <c r="ET6" s="225">
        <f>COLUMN()</f>
        <v>150</v>
      </c>
      <c r="EU6" s="225">
        <f>COLUMN()</f>
        <v>151</v>
      </c>
      <c r="EV6" s="225">
        <f>COLUMN()</f>
        <v>152</v>
      </c>
      <c r="EW6" s="225">
        <f>COLUMN()</f>
        <v>153</v>
      </c>
      <c r="EX6" s="225">
        <f>COLUMN()</f>
        <v>154</v>
      </c>
      <c r="EY6" s="225">
        <f>COLUMN()</f>
        <v>155</v>
      </c>
      <c r="EZ6" s="440">
        <f>COLUMN()</f>
        <v>156</v>
      </c>
    </row>
    <row r="7" spans="1:156" s="306" customFormat="1" ht="76.5" x14ac:dyDescent="0.2">
      <c r="A7" s="293" t="s">
        <v>7</v>
      </c>
      <c r="B7" s="293" t="s">
        <v>136</v>
      </c>
      <c r="C7" s="293" t="s">
        <v>0</v>
      </c>
      <c r="D7" s="294" t="s">
        <v>45</v>
      </c>
      <c r="E7" s="295" t="s">
        <v>132</v>
      </c>
      <c r="F7" s="295" t="s">
        <v>299</v>
      </c>
      <c r="G7" s="295" t="s">
        <v>298</v>
      </c>
      <c r="H7" s="364" t="s">
        <v>86</v>
      </c>
      <c r="I7" s="296" t="s">
        <v>112</v>
      </c>
      <c r="J7" s="296" t="s">
        <v>113</v>
      </c>
      <c r="K7" s="296" t="s">
        <v>114</v>
      </c>
      <c r="L7" s="296" t="s">
        <v>175</v>
      </c>
      <c r="M7" s="296" t="s">
        <v>131</v>
      </c>
      <c r="N7" s="296" t="s">
        <v>125</v>
      </c>
      <c r="O7" s="296" t="s">
        <v>161</v>
      </c>
      <c r="P7" s="296" t="s">
        <v>126</v>
      </c>
      <c r="Q7" s="296" t="s">
        <v>367</v>
      </c>
      <c r="R7" s="296" t="s">
        <v>130</v>
      </c>
      <c r="S7" s="296" t="s">
        <v>367</v>
      </c>
      <c r="T7" s="296" t="s">
        <v>129</v>
      </c>
      <c r="U7" s="296" t="s">
        <v>158</v>
      </c>
      <c r="V7" s="296" t="s">
        <v>157</v>
      </c>
      <c r="W7" s="296" t="s">
        <v>156</v>
      </c>
      <c r="X7" s="296" t="s">
        <v>155</v>
      </c>
      <c r="Y7" s="296" t="s">
        <v>170</v>
      </c>
      <c r="Z7" s="296" t="s">
        <v>159</v>
      </c>
      <c r="AA7" s="343" t="s">
        <v>371</v>
      </c>
      <c r="AB7" s="343" t="s">
        <v>131</v>
      </c>
      <c r="AC7" s="343" t="s">
        <v>125</v>
      </c>
      <c r="AD7" s="343" t="s">
        <v>161</v>
      </c>
      <c r="AE7" s="343" t="s">
        <v>126</v>
      </c>
      <c r="AF7" s="343" t="s">
        <v>626</v>
      </c>
      <c r="AG7" s="343" t="s">
        <v>130</v>
      </c>
      <c r="AH7" s="343" t="s">
        <v>627</v>
      </c>
      <c r="AI7" s="343" t="s">
        <v>129</v>
      </c>
      <c r="AJ7" s="343" t="s">
        <v>158</v>
      </c>
      <c r="AK7" s="343" t="s">
        <v>157</v>
      </c>
      <c r="AL7" s="343" t="s">
        <v>156</v>
      </c>
      <c r="AM7" s="343" t="s">
        <v>155</v>
      </c>
      <c r="AN7" s="343" t="s">
        <v>170</v>
      </c>
      <c r="AO7" s="343" t="s">
        <v>159</v>
      </c>
      <c r="AP7" s="343" t="s">
        <v>371</v>
      </c>
      <c r="AQ7" s="343" t="s">
        <v>131</v>
      </c>
      <c r="AR7" s="343" t="s">
        <v>125</v>
      </c>
      <c r="AS7" s="343" t="s">
        <v>161</v>
      </c>
      <c r="AT7" s="343" t="s">
        <v>126</v>
      </c>
      <c r="AU7" s="343" t="s">
        <v>367</v>
      </c>
      <c r="AV7" s="343" t="s">
        <v>130</v>
      </c>
      <c r="AW7" s="343" t="s">
        <v>367</v>
      </c>
      <c r="AX7" s="343" t="s">
        <v>129</v>
      </c>
      <c r="AY7" s="343" t="s">
        <v>158</v>
      </c>
      <c r="AZ7" s="343" t="s">
        <v>157</v>
      </c>
      <c r="BA7" s="343" t="s">
        <v>156</v>
      </c>
      <c r="BB7" s="343" t="s">
        <v>155</v>
      </c>
      <c r="BC7" s="343" t="s">
        <v>170</v>
      </c>
      <c r="BD7" s="343" t="s">
        <v>159</v>
      </c>
      <c r="BE7" s="343" t="s">
        <v>371</v>
      </c>
      <c r="BF7" s="343" t="s">
        <v>131</v>
      </c>
      <c r="BG7" s="343" t="s">
        <v>125</v>
      </c>
      <c r="BH7" s="343" t="s">
        <v>161</v>
      </c>
      <c r="BI7" s="343" t="s">
        <v>126</v>
      </c>
      <c r="BJ7" s="343" t="s">
        <v>130</v>
      </c>
      <c r="BK7" s="343" t="s">
        <v>130</v>
      </c>
      <c r="BL7" s="343" t="s">
        <v>367</v>
      </c>
      <c r="BM7" s="343" t="s">
        <v>129</v>
      </c>
      <c r="BN7" s="343" t="s">
        <v>158</v>
      </c>
      <c r="BO7" s="343" t="s">
        <v>157</v>
      </c>
      <c r="BP7" s="343" t="s">
        <v>156</v>
      </c>
      <c r="BQ7" s="343" t="s">
        <v>155</v>
      </c>
      <c r="BR7" s="343" t="s">
        <v>170</v>
      </c>
      <c r="BS7" s="343" t="s">
        <v>159</v>
      </c>
      <c r="BT7" s="340" t="s">
        <v>24</v>
      </c>
      <c r="BU7" s="297" t="s">
        <v>25</v>
      </c>
      <c r="BV7" s="297" t="s">
        <v>171</v>
      </c>
      <c r="BW7" s="347" t="s">
        <v>172</v>
      </c>
      <c r="BX7" s="352" t="s">
        <v>121</v>
      </c>
      <c r="BY7" s="297" t="s">
        <v>194</v>
      </c>
      <c r="BZ7" s="297" t="s">
        <v>120</v>
      </c>
      <c r="CA7" s="297" t="s">
        <v>122</v>
      </c>
      <c r="CB7" s="297" t="s">
        <v>195</v>
      </c>
      <c r="CC7" s="297" t="s">
        <v>196</v>
      </c>
      <c r="CD7" s="297" t="s">
        <v>197</v>
      </c>
      <c r="CE7" s="297" t="s">
        <v>198</v>
      </c>
      <c r="CF7" s="297" t="s">
        <v>185</v>
      </c>
      <c r="CG7" s="297" t="s">
        <v>193</v>
      </c>
      <c r="CH7" s="297" t="s">
        <v>186</v>
      </c>
      <c r="CI7" s="297" t="s">
        <v>187</v>
      </c>
      <c r="CJ7" s="297" t="s">
        <v>188</v>
      </c>
      <c r="CK7" s="297" t="s">
        <v>189</v>
      </c>
      <c r="CL7" s="297" t="s">
        <v>190</v>
      </c>
      <c r="CM7" s="297" t="s">
        <v>192</v>
      </c>
      <c r="CN7" s="297" t="s">
        <v>177</v>
      </c>
      <c r="CO7" s="297" t="s">
        <v>178</v>
      </c>
      <c r="CP7" s="297" t="s">
        <v>179</v>
      </c>
      <c r="CQ7" s="297" t="s">
        <v>180</v>
      </c>
      <c r="CR7" s="297" t="s">
        <v>181</v>
      </c>
      <c r="CS7" s="297" t="s">
        <v>182</v>
      </c>
      <c r="CT7" s="297" t="s">
        <v>183</v>
      </c>
      <c r="CU7" s="297" t="s">
        <v>184</v>
      </c>
      <c r="CV7" s="347" t="s">
        <v>191</v>
      </c>
      <c r="CW7" s="298" t="s">
        <v>22</v>
      </c>
      <c r="CX7" s="336" t="s">
        <v>22</v>
      </c>
      <c r="CY7" s="336" t="s">
        <v>363</v>
      </c>
      <c r="CZ7" s="336" t="s">
        <v>363</v>
      </c>
      <c r="DA7" s="336" t="s">
        <v>364</v>
      </c>
      <c r="DB7" s="336" t="s">
        <v>364</v>
      </c>
      <c r="DC7" s="336" t="s">
        <v>365</v>
      </c>
      <c r="DD7" s="336" t="s">
        <v>365</v>
      </c>
      <c r="DE7" s="464" t="s">
        <v>669</v>
      </c>
      <c r="DF7" s="299" t="s">
        <v>207</v>
      </c>
      <c r="DG7" s="299" t="s">
        <v>207</v>
      </c>
      <c r="DH7" s="299" t="s">
        <v>204</v>
      </c>
      <c r="DI7" s="299" t="s">
        <v>204</v>
      </c>
      <c r="DJ7" s="299" t="s">
        <v>139</v>
      </c>
      <c r="DK7" s="299" t="s">
        <v>139</v>
      </c>
      <c r="DL7" s="299" t="s">
        <v>203</v>
      </c>
      <c r="DM7" s="299" t="s">
        <v>203</v>
      </c>
      <c r="DN7" s="299" t="s">
        <v>329</v>
      </c>
      <c r="DO7" s="299" t="s">
        <v>329</v>
      </c>
      <c r="DP7" s="300" t="s">
        <v>26</v>
      </c>
      <c r="DQ7" s="301" t="s">
        <v>27</v>
      </c>
      <c r="DR7" s="301" t="s">
        <v>28</v>
      </c>
      <c r="DS7" s="301" t="s">
        <v>79</v>
      </c>
      <c r="DT7" s="301" t="s">
        <v>26</v>
      </c>
      <c r="DU7" s="301" t="s">
        <v>27</v>
      </c>
      <c r="DV7" s="301" t="s">
        <v>28</v>
      </c>
      <c r="DW7" s="302" t="s">
        <v>79</v>
      </c>
      <c r="DX7" s="328" t="s">
        <v>26</v>
      </c>
      <c r="DY7" s="329" t="s">
        <v>348</v>
      </c>
      <c r="DZ7" s="329" t="s">
        <v>347</v>
      </c>
      <c r="EA7" s="329" t="s">
        <v>79</v>
      </c>
      <c r="EB7" s="302" t="s">
        <v>349</v>
      </c>
      <c r="EC7" s="449" t="s">
        <v>630</v>
      </c>
      <c r="ED7" s="450" t="s">
        <v>632</v>
      </c>
      <c r="EE7" s="450" t="s">
        <v>630</v>
      </c>
      <c r="EF7" s="450" t="s">
        <v>632</v>
      </c>
      <c r="EG7" s="450" t="s">
        <v>630</v>
      </c>
      <c r="EH7" s="450" t="s">
        <v>632</v>
      </c>
      <c r="EI7" s="450" t="s">
        <v>630</v>
      </c>
      <c r="EJ7" s="450" t="s">
        <v>632</v>
      </c>
      <c r="EK7" s="305" t="s">
        <v>636</v>
      </c>
      <c r="EL7" s="303" t="s">
        <v>218</v>
      </c>
      <c r="EM7" s="304" t="s">
        <v>219</v>
      </c>
      <c r="EN7" s="304" t="s">
        <v>213</v>
      </c>
      <c r="EO7" s="304" t="s">
        <v>212</v>
      </c>
      <c r="EP7" s="304" t="s">
        <v>216</v>
      </c>
      <c r="EQ7" s="304" t="s">
        <v>214</v>
      </c>
      <c r="ER7" s="304" t="s">
        <v>215</v>
      </c>
      <c r="ES7" s="305" t="s">
        <v>2</v>
      </c>
      <c r="ET7" s="304" t="s">
        <v>316</v>
      </c>
      <c r="EU7" s="304" t="s">
        <v>317</v>
      </c>
      <c r="EV7" s="304" t="s">
        <v>318</v>
      </c>
      <c r="EW7" s="304" t="s">
        <v>135</v>
      </c>
      <c r="EX7" s="304" t="s">
        <v>319</v>
      </c>
      <c r="EY7" s="304" t="s">
        <v>320</v>
      </c>
      <c r="EZ7" s="305" t="s">
        <v>645</v>
      </c>
    </row>
    <row r="8" spans="1:156" x14ac:dyDescent="0.2">
      <c r="A8" s="29" t="s">
        <v>6</v>
      </c>
      <c r="B8" s="29">
        <v>1</v>
      </c>
      <c r="C8" s="29" t="s">
        <v>128</v>
      </c>
      <c r="D8" s="66" t="s">
        <v>138</v>
      </c>
      <c r="E8" s="29"/>
      <c r="F8" s="13" t="s">
        <v>220</v>
      </c>
      <c r="G8" s="307">
        <v>40956</v>
      </c>
      <c r="H8" s="29" t="s">
        <v>36</v>
      </c>
      <c r="I8" s="13"/>
      <c r="J8" s="13"/>
      <c r="K8" s="13"/>
      <c r="L8" s="13"/>
      <c r="BT8" s="29" t="s">
        <v>23</v>
      </c>
      <c r="BU8" s="29" t="s">
        <v>23</v>
      </c>
      <c r="BV8" s="29" t="s">
        <v>35</v>
      </c>
      <c r="BX8" s="29">
        <v>3</v>
      </c>
      <c r="BY8" s="29">
        <v>8</v>
      </c>
      <c r="BZ8" s="29">
        <v>11</v>
      </c>
      <c r="CA8" s="29">
        <v>7.333333333333333</v>
      </c>
      <c r="CB8" s="10">
        <f t="shared" ref="CB8:CE9" si="0">BX8/SUM(BX$8:BX$19)</f>
        <v>0.33333333333333331</v>
      </c>
      <c r="CC8" s="10">
        <f t="shared" si="0"/>
        <v>0.61538461538461542</v>
      </c>
      <c r="CD8" s="10">
        <f t="shared" si="0"/>
        <v>0.6875</v>
      </c>
      <c r="CE8" s="10">
        <f t="shared" si="0"/>
        <v>0.57894736842105265</v>
      </c>
      <c r="CF8" s="29">
        <v>12</v>
      </c>
      <c r="CG8" s="29">
        <v>33</v>
      </c>
      <c r="CH8" s="29">
        <v>18</v>
      </c>
      <c r="CI8" s="96">
        <v>21</v>
      </c>
      <c r="CJ8" s="10">
        <f t="shared" ref="CJ8:CJ19" si="1">CF8/SUM(CF$8:CF$19)</f>
        <v>9.5238095238095233E-2</v>
      </c>
      <c r="CK8" s="10">
        <f t="shared" ref="CK8:CK19" si="2">CG8/SUM(CG$8:CG$19)</f>
        <v>0.38372093023255816</v>
      </c>
      <c r="CL8" s="10">
        <f t="shared" ref="CL8:CL19" si="3">CH8/SUM(CH$8:CH$19)</f>
        <v>0.29508196721311475</v>
      </c>
      <c r="CM8" s="10">
        <f t="shared" ref="CM8:CM19" si="4">CI8/SUM(CI$8:CI$19)</f>
        <v>0.23247232472324722</v>
      </c>
      <c r="CN8" s="29">
        <v>4.2</v>
      </c>
      <c r="CO8" s="29">
        <v>3.5</v>
      </c>
      <c r="CP8" s="29">
        <v>0.3</v>
      </c>
      <c r="CQ8" s="29">
        <v>1.6</v>
      </c>
      <c r="CR8" s="10">
        <v>0.19</v>
      </c>
      <c r="CS8" s="10">
        <v>0.19</v>
      </c>
      <c r="CT8" s="10">
        <v>0.05</v>
      </c>
      <c r="CU8" s="10">
        <v>0.17</v>
      </c>
      <c r="CV8" s="10">
        <v>0.15000000000000002</v>
      </c>
      <c r="CW8" s="10">
        <v>4.0966109092558059E-2</v>
      </c>
      <c r="CX8" s="10">
        <v>4.1890880623831298E-2</v>
      </c>
      <c r="CY8" s="10">
        <v>2.1937014605098264E-2</v>
      </c>
      <c r="CZ8" s="10">
        <v>2.2333495189754728E-2</v>
      </c>
      <c r="DA8" s="10">
        <v>2.5871157015756426E-2</v>
      </c>
      <c r="DB8" s="10">
        <v>2.5274642237231332E-2</v>
      </c>
      <c r="DC8" s="10">
        <v>4.7045667924838351E-2</v>
      </c>
      <c r="DD8" s="10">
        <v>3.1818213341338414E-2</v>
      </c>
      <c r="DE8" s="10">
        <v>7.1999999999999995E-2</v>
      </c>
      <c r="DF8" s="30">
        <v>3737260</v>
      </c>
      <c r="DG8" s="29">
        <v>3677472</v>
      </c>
      <c r="DH8" s="29" t="s">
        <v>23</v>
      </c>
      <c r="DI8" s="29" t="s">
        <v>23</v>
      </c>
      <c r="DJ8" s="101">
        <f>DF8/3751994</f>
        <v>0.99607302143873366</v>
      </c>
      <c r="DK8" s="101">
        <f>DG8/3736597</f>
        <v>0.98417677903183032</v>
      </c>
      <c r="DL8" s="90">
        <f>DF8/SUM(DF$8:DF$9)</f>
        <v>0.99607302143873366</v>
      </c>
      <c r="DM8" s="90">
        <f>DG8/SUM(DG$8:DG$9)</f>
        <v>0.98417677903183032</v>
      </c>
      <c r="DN8" s="29" t="s">
        <v>23</v>
      </c>
      <c r="DO8" s="29" t="s">
        <v>23</v>
      </c>
      <c r="DP8" s="13" t="s">
        <v>23</v>
      </c>
      <c r="DQ8" s="13" t="s">
        <v>23</v>
      </c>
      <c r="DR8" s="29">
        <v>600</v>
      </c>
      <c r="DS8" s="29">
        <v>0</v>
      </c>
      <c r="DT8" s="29">
        <v>405</v>
      </c>
      <c r="DU8" s="13">
        <v>461</v>
      </c>
      <c r="DV8" s="13">
        <v>866</v>
      </c>
      <c r="DW8" s="29">
        <v>0</v>
      </c>
      <c r="DX8" s="29">
        <v>377.83</v>
      </c>
      <c r="DY8" s="29">
        <v>330.77</v>
      </c>
      <c r="DZ8" s="29">
        <v>708.59999999999991</v>
      </c>
      <c r="EA8" s="29">
        <v>0</v>
      </c>
      <c r="EB8" s="29" t="s">
        <v>350</v>
      </c>
      <c r="EC8" s="29">
        <v>0</v>
      </c>
      <c r="ED8" s="29">
        <v>0</v>
      </c>
      <c r="EE8" s="29">
        <v>0</v>
      </c>
      <c r="EF8" s="29">
        <v>0</v>
      </c>
      <c r="EG8" s="29">
        <v>0</v>
      </c>
      <c r="EH8" s="29">
        <v>0</v>
      </c>
      <c r="EI8" s="29">
        <v>0</v>
      </c>
      <c r="EJ8" s="29">
        <v>0</v>
      </c>
      <c r="EL8" s="29">
        <v>4879</v>
      </c>
      <c r="EM8" s="29">
        <v>0</v>
      </c>
      <c r="EN8" s="29">
        <v>0</v>
      </c>
      <c r="EO8" s="29">
        <v>0</v>
      </c>
      <c r="EP8" s="10">
        <v>0</v>
      </c>
      <c r="EQ8" s="29">
        <v>1.1000000000000001</v>
      </c>
      <c r="ER8" s="29">
        <v>1.7</v>
      </c>
      <c r="ES8" s="29">
        <v>13</v>
      </c>
      <c r="ET8">
        <v>2445</v>
      </c>
      <c r="EU8">
        <v>0</v>
      </c>
      <c r="EV8" s="29" t="s">
        <v>313</v>
      </c>
      <c r="EX8">
        <v>0</v>
      </c>
      <c r="EY8">
        <v>0</v>
      </c>
      <c r="EZ8" s="439">
        <v>0</v>
      </c>
    </row>
    <row r="9" spans="1:156" x14ac:dyDescent="0.2">
      <c r="A9" s="29" t="s">
        <v>6</v>
      </c>
      <c r="B9" s="29">
        <v>2</v>
      </c>
      <c r="C9" s="29" t="s">
        <v>30</v>
      </c>
      <c r="D9" s="66" t="s">
        <v>138</v>
      </c>
      <c r="E9" s="29" t="s">
        <v>29</v>
      </c>
      <c r="F9" s="13"/>
      <c r="G9" s="307"/>
      <c r="H9" s="29" t="s">
        <v>87</v>
      </c>
      <c r="I9" s="13" t="s">
        <v>23</v>
      </c>
      <c r="J9" s="13" t="s">
        <v>23</v>
      </c>
      <c r="K9" s="13" t="s">
        <v>23</v>
      </c>
      <c r="L9" s="13">
        <v>58.7</v>
      </c>
      <c r="M9" s="29">
        <v>10</v>
      </c>
      <c r="N9" s="29">
        <v>0.88</v>
      </c>
      <c r="O9" s="29">
        <v>2</v>
      </c>
      <c r="P9" s="29">
        <v>246.95</v>
      </c>
      <c r="Q9" s="29" t="s">
        <v>23</v>
      </c>
      <c r="R9" s="29">
        <v>1513.64</v>
      </c>
      <c r="S9" s="29" t="s">
        <v>23</v>
      </c>
      <c r="T9" s="29">
        <v>1266.69</v>
      </c>
      <c r="U9" s="29" t="s">
        <v>23</v>
      </c>
      <c r="V9" s="29" t="s">
        <v>23</v>
      </c>
      <c r="W9" s="29" t="s">
        <v>23</v>
      </c>
      <c r="X9" s="29" t="s">
        <v>23</v>
      </c>
      <c r="Y9" s="29">
        <v>2247.92</v>
      </c>
      <c r="Z9" s="29">
        <v>0</v>
      </c>
      <c r="AA9" s="29">
        <v>40</v>
      </c>
      <c r="AB9" s="29">
        <v>10</v>
      </c>
      <c r="AC9" s="29">
        <v>0.94799999999999995</v>
      </c>
      <c r="AD9" s="29">
        <v>2</v>
      </c>
      <c r="AE9" s="29">
        <v>420.83</v>
      </c>
      <c r="AF9" s="29">
        <v>313.12</v>
      </c>
      <c r="AG9" s="29">
        <v>1761.23</v>
      </c>
      <c r="AH9" s="29">
        <v>467.69</v>
      </c>
      <c r="AI9" s="29">
        <f>SUM(AG9:AH9)-SUM(AE9:AF9)</f>
        <v>1494.97</v>
      </c>
      <c r="AJ9" s="29" t="s">
        <v>23</v>
      </c>
      <c r="AK9" s="29" t="s">
        <v>23</v>
      </c>
      <c r="AL9" s="29" t="s">
        <v>23</v>
      </c>
      <c r="AM9" s="29" t="s">
        <v>23</v>
      </c>
      <c r="AN9" s="13">
        <v>727.7</v>
      </c>
      <c r="AO9" s="29">
        <v>0</v>
      </c>
      <c r="BE9" s="29" t="s">
        <v>368</v>
      </c>
      <c r="BF9" s="29">
        <v>15</v>
      </c>
      <c r="BG9" s="29">
        <v>0.89</v>
      </c>
      <c r="BH9" s="29">
        <v>2</v>
      </c>
      <c r="BI9" s="29" t="s">
        <v>374</v>
      </c>
      <c r="BK9" s="29" t="s">
        <v>375</v>
      </c>
      <c r="BL9" s="29" t="s">
        <v>23</v>
      </c>
      <c r="BM9" s="29" t="s">
        <v>376</v>
      </c>
      <c r="BN9" s="29" t="s">
        <v>377</v>
      </c>
      <c r="BO9" s="29">
        <v>0</v>
      </c>
      <c r="BP9" s="29" t="s">
        <v>378</v>
      </c>
      <c r="BQ9" s="29">
        <v>0</v>
      </c>
      <c r="BR9" s="29" t="s">
        <v>379</v>
      </c>
      <c r="BS9" s="29">
        <v>0</v>
      </c>
      <c r="BT9" s="29">
        <v>28</v>
      </c>
      <c r="BU9" s="29">
        <v>14</v>
      </c>
      <c r="BV9" s="29" t="s">
        <v>35</v>
      </c>
      <c r="BX9" s="29">
        <v>1</v>
      </c>
      <c r="BY9" s="29">
        <v>2</v>
      </c>
      <c r="BZ9" s="29">
        <v>3</v>
      </c>
      <c r="CA9" s="29">
        <v>2</v>
      </c>
      <c r="CB9" s="10">
        <f t="shared" si="0"/>
        <v>0.1111111111111111</v>
      </c>
      <c r="CC9" s="10">
        <f t="shared" si="0"/>
        <v>0.15384615384615385</v>
      </c>
      <c r="CD9" s="10">
        <f t="shared" si="0"/>
        <v>0.1875</v>
      </c>
      <c r="CE9" s="10">
        <f t="shared" si="0"/>
        <v>0.15789473684210528</v>
      </c>
      <c r="CF9" s="29">
        <v>1</v>
      </c>
      <c r="CG9" s="29">
        <v>3</v>
      </c>
      <c r="CH9" s="29">
        <v>3</v>
      </c>
      <c r="CI9" s="96">
        <v>2.3333333333333335</v>
      </c>
      <c r="CJ9" s="10">
        <f t="shared" si="1"/>
        <v>7.9365079365079361E-3</v>
      </c>
      <c r="CK9" s="10">
        <f t="shared" si="2"/>
        <v>3.4883720930232558E-2</v>
      </c>
      <c r="CL9" s="10">
        <f t="shared" si="3"/>
        <v>4.9180327868852458E-2</v>
      </c>
      <c r="CM9" s="10">
        <f t="shared" si="4"/>
        <v>2.5830258302583026E-2</v>
      </c>
      <c r="CN9" s="29">
        <v>0</v>
      </c>
      <c r="CO9" s="29">
        <v>1</v>
      </c>
      <c r="CP9" s="29">
        <v>0.2</v>
      </c>
      <c r="CQ9" s="29">
        <v>0.9</v>
      </c>
      <c r="CR9" s="10">
        <v>0</v>
      </c>
      <c r="CS9" s="10">
        <v>0.05</v>
      </c>
      <c r="CT9" s="10">
        <v>0.03</v>
      </c>
      <c r="CU9" s="10">
        <v>0.09</v>
      </c>
      <c r="CV9" s="10">
        <v>4.2500000000000003E-2</v>
      </c>
      <c r="CW9" s="53">
        <v>2.3557553324755269E-3</v>
      </c>
      <c r="CX9" s="53">
        <v>1.8169792469782645E-3</v>
      </c>
      <c r="CY9" s="53">
        <v>3.8439060132995661E-4</v>
      </c>
      <c r="CZ9" s="53">
        <v>1.5102280501164888E-3</v>
      </c>
      <c r="DA9" s="53">
        <v>5.3764239816012733E-4</v>
      </c>
      <c r="DB9" s="53">
        <v>1.3321509771107392E-3</v>
      </c>
      <c r="DC9" s="53">
        <v>0</v>
      </c>
      <c r="DD9" s="53">
        <v>5.7264065609956413E-4</v>
      </c>
      <c r="DE9" s="53" t="s">
        <v>23</v>
      </c>
      <c r="DF9" s="29">
        <v>14734</v>
      </c>
      <c r="DG9" s="29">
        <v>59125</v>
      </c>
      <c r="DH9" s="29">
        <v>34000</v>
      </c>
      <c r="DI9" s="29">
        <v>43000</v>
      </c>
      <c r="DJ9" s="53">
        <f>DF9/3751994</f>
        <v>3.9269785612663557E-3</v>
      </c>
      <c r="DK9" s="101">
        <f>DG9/3736597</f>
        <v>1.58232209681697E-2</v>
      </c>
      <c r="DL9" s="90">
        <f>DF9/SUM(DF$8:DF$9)</f>
        <v>3.9269785612663557E-3</v>
      </c>
      <c r="DM9" s="90">
        <f>DG9/SUM(DG$8:DG$9)</f>
        <v>1.58232209681697E-2</v>
      </c>
      <c r="DN9" s="10">
        <v>0.01</v>
      </c>
      <c r="DO9" s="10">
        <v>0.01</v>
      </c>
      <c r="DP9" s="29">
        <v>1039</v>
      </c>
      <c r="DQ9" s="29">
        <v>535</v>
      </c>
      <c r="DR9" s="29">
        <v>1574</v>
      </c>
      <c r="DS9" s="29">
        <v>974</v>
      </c>
      <c r="DT9" s="29">
        <v>1657</v>
      </c>
      <c r="DU9" s="13" t="s">
        <v>23</v>
      </c>
      <c r="DV9" s="13" t="s">
        <v>23</v>
      </c>
      <c r="DW9" s="29" t="s">
        <v>23</v>
      </c>
      <c r="DX9" s="29">
        <v>1565.41</v>
      </c>
      <c r="DY9" s="29">
        <f>442.77+361.42</f>
        <v>804.19</v>
      </c>
      <c r="DZ9" s="29">
        <v>2369.6000000000004</v>
      </c>
      <c r="EA9" s="29">
        <v>1661.0000000000005</v>
      </c>
      <c r="EB9" s="29" t="s">
        <v>354</v>
      </c>
      <c r="EC9" s="13">
        <v>686.4</v>
      </c>
      <c r="ED9" s="13">
        <v>0</v>
      </c>
      <c r="EE9" s="13">
        <v>727.7</v>
      </c>
      <c r="EF9" s="13">
        <v>0</v>
      </c>
      <c r="EG9" s="13">
        <v>754.5</v>
      </c>
      <c r="EH9" s="13">
        <v>0</v>
      </c>
      <c r="EI9" s="13">
        <v>757.3</v>
      </c>
      <c r="EJ9" s="13">
        <v>0</v>
      </c>
      <c r="EK9" s="29" t="s">
        <v>638</v>
      </c>
      <c r="EL9" s="29">
        <v>2195</v>
      </c>
      <c r="EM9" s="29">
        <v>0</v>
      </c>
      <c r="EN9" s="29">
        <v>2683</v>
      </c>
      <c r="EO9" s="29">
        <v>0</v>
      </c>
      <c r="EP9" s="10">
        <v>0.55000000000000004</v>
      </c>
      <c r="EQ9" s="29">
        <v>0.6</v>
      </c>
      <c r="ER9" s="29">
        <v>0.8</v>
      </c>
      <c r="ES9" s="29">
        <v>10</v>
      </c>
      <c r="ET9">
        <v>1404</v>
      </c>
      <c r="EU9">
        <v>0</v>
      </c>
      <c r="EV9" s="29" t="s">
        <v>308</v>
      </c>
      <c r="EX9">
        <v>1041</v>
      </c>
      <c r="EY9">
        <v>0</v>
      </c>
      <c r="EZ9" s="10">
        <f>EX9/ET8</f>
        <v>0.42576687116564416</v>
      </c>
    </row>
    <row r="10" spans="1:156" x14ac:dyDescent="0.2">
      <c r="A10" s="29" t="s">
        <v>6</v>
      </c>
      <c r="B10" s="29">
        <v>3</v>
      </c>
      <c r="C10" s="29" t="s">
        <v>34</v>
      </c>
      <c r="D10" s="66" t="s">
        <v>138</v>
      </c>
      <c r="E10" s="29"/>
      <c r="F10" s="13"/>
      <c r="G10" s="307"/>
      <c r="H10" s="29" t="s">
        <v>36</v>
      </c>
      <c r="BT10" s="29" t="s">
        <v>23</v>
      </c>
      <c r="BU10" s="29" t="s">
        <v>23</v>
      </c>
      <c r="BV10" s="29" t="s">
        <v>35</v>
      </c>
      <c r="BX10" s="29" t="s">
        <v>23</v>
      </c>
      <c r="BY10" s="29" t="s">
        <v>23</v>
      </c>
      <c r="BZ10" s="29" t="s">
        <v>23</v>
      </c>
      <c r="CA10" s="29" t="s">
        <v>23</v>
      </c>
      <c r="CB10" s="29" t="s">
        <v>23</v>
      </c>
      <c r="CC10" s="29" t="s">
        <v>23</v>
      </c>
      <c r="CD10" s="29" t="s">
        <v>23</v>
      </c>
      <c r="CE10" s="29" t="s">
        <v>23</v>
      </c>
      <c r="CF10" s="29">
        <v>53</v>
      </c>
      <c r="CG10" s="29">
        <v>21</v>
      </c>
      <c r="CH10" s="29">
        <v>7</v>
      </c>
      <c r="CI10" s="96">
        <v>27</v>
      </c>
      <c r="CJ10" s="10">
        <f t="shared" si="1"/>
        <v>0.42063492063492064</v>
      </c>
      <c r="CK10" s="10">
        <f t="shared" si="2"/>
        <v>0.2441860465116279</v>
      </c>
      <c r="CL10" s="10">
        <f t="shared" si="3"/>
        <v>0.11475409836065574</v>
      </c>
      <c r="CM10" s="10">
        <f t="shared" si="4"/>
        <v>0.29889298892988925</v>
      </c>
      <c r="CN10" s="29">
        <v>4.2</v>
      </c>
      <c r="CO10" s="29">
        <v>3.1</v>
      </c>
      <c r="CP10" s="29">
        <v>0</v>
      </c>
      <c r="CQ10" s="29">
        <v>0</v>
      </c>
      <c r="CR10" s="10">
        <v>0.19</v>
      </c>
      <c r="CS10" s="10">
        <v>0.17</v>
      </c>
      <c r="CT10" s="10">
        <v>0</v>
      </c>
      <c r="CU10" s="10">
        <v>0</v>
      </c>
      <c r="CV10" s="10">
        <v>0.09</v>
      </c>
      <c r="CW10" s="53">
        <v>1.5332815626434794E-4</v>
      </c>
      <c r="CX10" s="53">
        <v>1.4229228605648861E-3</v>
      </c>
      <c r="CY10" s="53">
        <v>0</v>
      </c>
      <c r="CZ10" s="53">
        <v>6.9666033592782005E-5</v>
      </c>
      <c r="DA10" s="53">
        <v>8.8498068013981361E-5</v>
      </c>
      <c r="DB10" s="53">
        <v>1.7490871187623487E-4</v>
      </c>
      <c r="DC10" s="53">
        <v>3.9739120589092885E-3</v>
      </c>
      <c r="DD10" s="53">
        <v>2.24895205769206E-4</v>
      </c>
      <c r="DE10" s="53" t="s">
        <v>23</v>
      </c>
      <c r="DF10" s="29" t="s">
        <v>23</v>
      </c>
      <c r="DG10" s="29" t="s">
        <v>23</v>
      </c>
      <c r="DH10" s="29" t="s">
        <v>23</v>
      </c>
      <c r="DI10" s="29" t="s">
        <v>23</v>
      </c>
      <c r="DJ10" s="101" t="s">
        <v>23</v>
      </c>
      <c r="DK10" s="101" t="s">
        <v>23</v>
      </c>
      <c r="DL10" s="13" t="s">
        <v>23</v>
      </c>
      <c r="DM10" s="13" t="s">
        <v>23</v>
      </c>
      <c r="DN10" s="29" t="s">
        <v>23</v>
      </c>
      <c r="DO10" s="29" t="s">
        <v>23</v>
      </c>
      <c r="DP10" s="29">
        <v>650</v>
      </c>
      <c r="DQ10" s="29">
        <v>550</v>
      </c>
      <c r="DR10" s="29">
        <v>1200</v>
      </c>
      <c r="DS10" s="29">
        <v>600</v>
      </c>
      <c r="DT10" s="29">
        <v>246</v>
      </c>
      <c r="DU10" s="13" t="s">
        <v>23</v>
      </c>
      <c r="DV10" s="13" t="s">
        <v>23</v>
      </c>
      <c r="DW10" s="29" t="s">
        <v>23</v>
      </c>
      <c r="DX10" s="13" t="s">
        <v>23</v>
      </c>
      <c r="DY10" s="13" t="s">
        <v>23</v>
      </c>
      <c r="DZ10" s="29" t="s">
        <v>23</v>
      </c>
      <c r="EA10" s="13" t="s">
        <v>23</v>
      </c>
      <c r="EB10" s="13"/>
      <c r="EC10" s="13" t="s">
        <v>23</v>
      </c>
      <c r="ED10" s="13" t="s">
        <v>23</v>
      </c>
      <c r="EE10" s="13" t="s">
        <v>23</v>
      </c>
      <c r="EF10" s="13" t="s">
        <v>23</v>
      </c>
      <c r="EG10" s="13" t="s">
        <v>23</v>
      </c>
      <c r="EH10" s="13" t="s">
        <v>23</v>
      </c>
      <c r="EI10" s="13" t="s">
        <v>23</v>
      </c>
      <c r="EJ10" s="13" t="s">
        <v>23</v>
      </c>
      <c r="EL10" s="29">
        <v>1550</v>
      </c>
      <c r="EM10" s="29">
        <v>0</v>
      </c>
      <c r="EN10" s="29">
        <v>3328</v>
      </c>
      <c r="EO10" s="29">
        <v>0</v>
      </c>
      <c r="EP10" s="10">
        <v>0.38</v>
      </c>
      <c r="EQ10" s="29">
        <v>0.09</v>
      </c>
      <c r="ER10" s="29">
        <v>7.0000000000000007E-2</v>
      </c>
      <c r="ES10" s="29">
        <v>13</v>
      </c>
      <c r="ET10" t="s">
        <v>23</v>
      </c>
      <c r="EU10" t="s">
        <v>23</v>
      </c>
      <c r="EV10" s="29" t="s">
        <v>23</v>
      </c>
      <c r="EX10" s="29" t="s">
        <v>23</v>
      </c>
      <c r="EY10" s="29" t="s">
        <v>23</v>
      </c>
      <c r="EZ10" t="s">
        <v>23</v>
      </c>
    </row>
    <row r="11" spans="1:156" x14ac:dyDescent="0.2">
      <c r="A11" s="29" t="s">
        <v>6</v>
      </c>
      <c r="B11" s="29">
        <v>4</v>
      </c>
      <c r="C11" s="29" t="s">
        <v>38</v>
      </c>
      <c r="D11" s="66" t="s">
        <v>138</v>
      </c>
      <c r="E11" s="29"/>
      <c r="F11" s="13"/>
      <c r="G11" s="307"/>
      <c r="H11" s="29" t="s">
        <v>36</v>
      </c>
      <c r="O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29" t="s">
        <v>23</v>
      </c>
      <c r="BU11" s="29" t="s">
        <v>23</v>
      </c>
      <c r="BV11" s="29" t="s">
        <v>37</v>
      </c>
      <c r="BX11" s="29" t="s">
        <v>23</v>
      </c>
      <c r="BY11" s="29" t="s">
        <v>23</v>
      </c>
      <c r="BZ11" s="29" t="s">
        <v>23</v>
      </c>
      <c r="CA11" s="29" t="s">
        <v>23</v>
      </c>
      <c r="CB11" s="29" t="s">
        <v>23</v>
      </c>
      <c r="CC11" s="29" t="s">
        <v>23</v>
      </c>
      <c r="CD11" s="29" t="s">
        <v>23</v>
      </c>
      <c r="CE11" s="29" t="s">
        <v>23</v>
      </c>
      <c r="CF11" s="29">
        <v>30</v>
      </c>
      <c r="CG11" s="29">
        <v>8</v>
      </c>
      <c r="CH11" s="29">
        <v>2</v>
      </c>
      <c r="CI11" s="96">
        <v>13.333333333333334</v>
      </c>
      <c r="CJ11" s="10">
        <f t="shared" si="1"/>
        <v>0.23809523809523808</v>
      </c>
      <c r="CK11" s="10">
        <f t="shared" si="2"/>
        <v>9.3023255813953487E-2</v>
      </c>
      <c r="CL11" s="10">
        <f t="shared" si="3"/>
        <v>3.2786885245901641E-2</v>
      </c>
      <c r="CM11" s="10">
        <f t="shared" si="4"/>
        <v>0.14760147601476015</v>
      </c>
      <c r="CN11" s="29">
        <v>0</v>
      </c>
      <c r="CO11" s="29">
        <v>0</v>
      </c>
      <c r="CP11" s="29">
        <v>0</v>
      </c>
      <c r="CQ11" s="29">
        <v>0</v>
      </c>
      <c r="CR11" s="10">
        <v>0</v>
      </c>
      <c r="CS11" s="10">
        <v>0</v>
      </c>
      <c r="CT11" s="10">
        <v>0</v>
      </c>
      <c r="CU11" s="10">
        <v>0</v>
      </c>
      <c r="CV11" s="10">
        <v>0</v>
      </c>
      <c r="CW11" s="90">
        <v>2.4855599453573596E-4</v>
      </c>
      <c r="CX11" s="53">
        <v>2.6580367615624337E-3</v>
      </c>
      <c r="CY11" s="53">
        <v>1.2927387394198087E-3</v>
      </c>
      <c r="CZ11" s="53">
        <v>2.4933264125760047E-3</v>
      </c>
      <c r="DA11" s="53">
        <v>1.1105509437243225E-3</v>
      </c>
      <c r="DB11" s="53">
        <v>2.725864486864067E-3</v>
      </c>
      <c r="DC11" s="53">
        <v>6.5730870162493526E-3</v>
      </c>
      <c r="DD11" s="53">
        <v>7.9159149519645634E-4</v>
      </c>
      <c r="DE11" s="53">
        <v>2E-3</v>
      </c>
      <c r="DF11" s="29" t="s">
        <v>23</v>
      </c>
      <c r="DG11" s="29" t="s">
        <v>23</v>
      </c>
      <c r="DH11" s="29" t="s">
        <v>23</v>
      </c>
      <c r="DI11" s="29" t="s">
        <v>23</v>
      </c>
      <c r="DJ11" s="101" t="s">
        <v>23</v>
      </c>
      <c r="DK11" s="101" t="s">
        <v>23</v>
      </c>
      <c r="DL11" s="13" t="s">
        <v>23</v>
      </c>
      <c r="DM11" s="13" t="s">
        <v>23</v>
      </c>
      <c r="DN11" s="29" t="s">
        <v>23</v>
      </c>
      <c r="DO11" s="29" t="s">
        <v>23</v>
      </c>
      <c r="DP11" s="29" t="s">
        <v>23</v>
      </c>
      <c r="DQ11" s="29" t="s">
        <v>23</v>
      </c>
      <c r="DR11" s="29" t="s">
        <v>23</v>
      </c>
      <c r="DS11" s="29" t="s">
        <v>23</v>
      </c>
      <c r="DT11" s="29">
        <v>615</v>
      </c>
      <c r="DU11" s="13" t="s">
        <v>23</v>
      </c>
      <c r="DV11" s="13" t="s">
        <v>23</v>
      </c>
      <c r="DW11" s="29" t="s">
        <v>23</v>
      </c>
      <c r="DX11" s="13" t="s">
        <v>23</v>
      </c>
      <c r="DY11" s="13" t="s">
        <v>23</v>
      </c>
      <c r="DZ11" s="29" t="s">
        <v>23</v>
      </c>
      <c r="EA11" s="13" t="s">
        <v>23</v>
      </c>
      <c r="EB11" s="13"/>
      <c r="EC11" s="13" t="s">
        <v>23</v>
      </c>
      <c r="ED11" s="13" t="s">
        <v>23</v>
      </c>
      <c r="EE11" s="13" t="s">
        <v>23</v>
      </c>
      <c r="EF11" s="13" t="s">
        <v>23</v>
      </c>
      <c r="EG11" s="13" t="s">
        <v>23</v>
      </c>
      <c r="EH11" s="13" t="s">
        <v>23</v>
      </c>
      <c r="EI11" s="13" t="s">
        <v>23</v>
      </c>
      <c r="EJ11" s="13" t="s">
        <v>23</v>
      </c>
      <c r="EL11" s="29" t="s">
        <v>23</v>
      </c>
      <c r="EM11" s="29" t="s">
        <v>23</v>
      </c>
      <c r="EN11" s="29" t="s">
        <v>23</v>
      </c>
      <c r="EO11" s="29" t="s">
        <v>23</v>
      </c>
      <c r="EP11" s="10" t="s">
        <v>23</v>
      </c>
      <c r="EQ11" s="29" t="s">
        <v>23</v>
      </c>
      <c r="ER11" s="29" t="s">
        <v>23</v>
      </c>
      <c r="ES11" s="29" t="s">
        <v>23</v>
      </c>
      <c r="ET11" t="s">
        <v>23</v>
      </c>
      <c r="EU11" t="s">
        <v>23</v>
      </c>
      <c r="EV11" s="29" t="s">
        <v>23</v>
      </c>
      <c r="EX11" s="29" t="s">
        <v>23</v>
      </c>
      <c r="EY11" s="29" t="s">
        <v>23</v>
      </c>
      <c r="EZ11" t="s">
        <v>23</v>
      </c>
    </row>
    <row r="12" spans="1:156" x14ac:dyDescent="0.2">
      <c r="A12" s="29" t="s">
        <v>5</v>
      </c>
      <c r="B12" s="29">
        <v>5</v>
      </c>
      <c r="C12" s="29" t="s">
        <v>127</v>
      </c>
      <c r="D12" s="66" t="s">
        <v>138</v>
      </c>
      <c r="E12" s="29"/>
      <c r="F12" s="13" t="s">
        <v>221</v>
      </c>
      <c r="G12" s="307">
        <v>75000</v>
      </c>
      <c r="H12" s="29" t="s">
        <v>36</v>
      </c>
      <c r="I12" s="10"/>
      <c r="J12" s="10"/>
      <c r="K12" s="10"/>
      <c r="L12" s="10"/>
      <c r="O12" s="13"/>
      <c r="T12" s="13"/>
      <c r="U12" s="13"/>
      <c r="V12" s="13"/>
      <c r="W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29" t="s">
        <v>23</v>
      </c>
      <c r="BU12" s="29" t="s">
        <v>23</v>
      </c>
      <c r="BV12" s="29" t="s">
        <v>35</v>
      </c>
      <c r="BX12" s="29">
        <v>4</v>
      </c>
      <c r="BY12" s="29">
        <v>1</v>
      </c>
      <c r="BZ12" s="29">
        <v>2</v>
      </c>
      <c r="CA12" s="29">
        <v>2.3333333333333335</v>
      </c>
      <c r="CB12" s="10">
        <f t="shared" ref="CB12:CE13" si="5">BX12/SUM(BX$8:BX$19)</f>
        <v>0.44444444444444442</v>
      </c>
      <c r="CC12" s="10">
        <f t="shared" si="5"/>
        <v>7.6923076923076927E-2</v>
      </c>
      <c r="CD12" s="10">
        <f t="shared" si="5"/>
        <v>0.125</v>
      </c>
      <c r="CE12" s="10">
        <f t="shared" si="5"/>
        <v>0.18421052631578949</v>
      </c>
      <c r="CF12" s="29">
        <v>15</v>
      </c>
      <c r="CG12" s="29">
        <v>15</v>
      </c>
      <c r="CH12" s="29">
        <v>25</v>
      </c>
      <c r="CI12" s="96">
        <v>18.333333333333332</v>
      </c>
      <c r="CJ12" s="10">
        <f t="shared" si="1"/>
        <v>0.11904761904761904</v>
      </c>
      <c r="CK12" s="10">
        <f t="shared" si="2"/>
        <v>0.1744186046511628</v>
      </c>
      <c r="CL12" s="10">
        <f t="shared" si="3"/>
        <v>0.4098360655737705</v>
      </c>
      <c r="CM12" s="10">
        <f t="shared" si="4"/>
        <v>0.20295202952029517</v>
      </c>
      <c r="CN12" s="29">
        <v>11.1</v>
      </c>
      <c r="CO12" s="29">
        <v>9.4</v>
      </c>
      <c r="CP12" s="29">
        <v>6.1</v>
      </c>
      <c r="CQ12" s="29">
        <v>7.1</v>
      </c>
      <c r="CR12" s="10">
        <v>0.49</v>
      </c>
      <c r="CS12" s="10">
        <v>0.5</v>
      </c>
      <c r="CT12" s="10">
        <v>0.89</v>
      </c>
      <c r="CU12" s="10">
        <v>0.74</v>
      </c>
      <c r="CV12" s="10">
        <v>0.65500000000000003</v>
      </c>
      <c r="CW12" s="10">
        <v>0.80568787942341813</v>
      </c>
      <c r="CX12" s="10">
        <v>0.79598204725463073</v>
      </c>
      <c r="CY12" s="10">
        <v>0.82185501903053315</v>
      </c>
      <c r="CZ12" s="10">
        <v>0.84226832605378099</v>
      </c>
      <c r="DA12" s="10">
        <v>0.77906113530822285</v>
      </c>
      <c r="DB12" s="10">
        <v>0.81798025998502055</v>
      </c>
      <c r="DC12" s="10">
        <v>0.79591867408009342</v>
      </c>
      <c r="DD12" s="10">
        <v>0.79111693659045002</v>
      </c>
      <c r="DE12" s="10">
        <v>0.83899999999999997</v>
      </c>
      <c r="DF12" s="29">
        <v>3110419</v>
      </c>
      <c r="DG12" s="29">
        <v>3463780</v>
      </c>
      <c r="DH12" s="29" t="s">
        <v>23</v>
      </c>
      <c r="DI12" s="29" t="s">
        <v>23</v>
      </c>
      <c r="DJ12" s="101">
        <f>DF12/(3751994+380000)</f>
        <v>0.75276464583443248</v>
      </c>
      <c r="DK12" s="101">
        <f>DG12/SUM(DG$12:DG$13,DG$16:DG$17)</f>
        <v>0.8022633416019882</v>
      </c>
      <c r="DL12" s="85">
        <f>DF12/SUM(DF$12:DF$13)</f>
        <v>0.82709457416616294</v>
      </c>
      <c r="DM12" s="85">
        <f>DG12/SUM(DG$12:DG$13)</f>
        <v>0.88395333940707055</v>
      </c>
      <c r="DN12" s="29" t="s">
        <v>23</v>
      </c>
      <c r="DO12" s="29" t="s">
        <v>23</v>
      </c>
      <c r="DP12" s="13" t="s">
        <v>23</v>
      </c>
      <c r="DQ12" s="13" t="s">
        <v>23</v>
      </c>
      <c r="DR12" s="29">
        <v>900</v>
      </c>
      <c r="DS12" s="29">
        <v>0</v>
      </c>
      <c r="DT12" s="29">
        <v>550</v>
      </c>
      <c r="DU12" s="29">
        <v>490</v>
      </c>
      <c r="DV12" s="29">
        <v>1040</v>
      </c>
      <c r="DW12" s="29">
        <v>0</v>
      </c>
      <c r="DX12" s="29">
        <v>565.04999999999995</v>
      </c>
      <c r="DY12" s="29">
        <v>353.42</v>
      </c>
      <c r="DZ12" s="29">
        <v>918.47</v>
      </c>
      <c r="EA12" s="29">
        <v>0</v>
      </c>
      <c r="EB12" s="29" t="s">
        <v>351</v>
      </c>
      <c r="EC12" s="13">
        <v>0</v>
      </c>
      <c r="ED12" s="13">
        <v>0</v>
      </c>
      <c r="EE12" s="13">
        <v>0</v>
      </c>
      <c r="EF12" s="13">
        <v>0</v>
      </c>
      <c r="EG12" s="13">
        <v>0</v>
      </c>
      <c r="EH12" s="13">
        <v>0</v>
      </c>
      <c r="EI12" s="13">
        <v>0</v>
      </c>
      <c r="EJ12" s="13">
        <v>0</v>
      </c>
      <c r="EL12" s="29">
        <v>0</v>
      </c>
      <c r="EM12" s="29">
        <v>248</v>
      </c>
      <c r="EN12" s="29">
        <v>0</v>
      </c>
      <c r="EO12" s="29">
        <v>0</v>
      </c>
      <c r="EP12" s="10">
        <v>0</v>
      </c>
      <c r="EQ12" s="29" t="s">
        <v>23</v>
      </c>
      <c r="ER12" s="29" t="s">
        <v>23</v>
      </c>
      <c r="ES12" s="29">
        <v>13</v>
      </c>
      <c r="ET12">
        <v>0</v>
      </c>
      <c r="EU12" s="29">
        <v>157</v>
      </c>
      <c r="EV12" s="29" t="s">
        <v>314</v>
      </c>
      <c r="EX12">
        <v>0</v>
      </c>
      <c r="EY12">
        <v>0</v>
      </c>
      <c r="EZ12" s="439">
        <v>0</v>
      </c>
    </row>
    <row r="13" spans="1:156" x14ac:dyDescent="0.2">
      <c r="A13" s="29" t="s">
        <v>5</v>
      </c>
      <c r="B13" s="29">
        <v>6</v>
      </c>
      <c r="C13" s="29" t="s">
        <v>330</v>
      </c>
      <c r="D13" s="66" t="s">
        <v>138</v>
      </c>
      <c r="E13" s="29"/>
      <c r="F13" s="13"/>
      <c r="G13" s="307"/>
      <c r="H13" s="29" t="s">
        <v>87</v>
      </c>
      <c r="I13" s="10">
        <v>0.501</v>
      </c>
      <c r="J13" s="10">
        <v>0.47499999999999998</v>
      </c>
      <c r="K13" s="10">
        <v>2.4E-2</v>
      </c>
      <c r="L13" s="88" t="s">
        <v>23</v>
      </c>
      <c r="M13" s="29">
        <v>11</v>
      </c>
      <c r="N13" s="12">
        <v>0.56999999999999995</v>
      </c>
      <c r="O13" s="13">
        <v>0.67</v>
      </c>
      <c r="P13" s="12">
        <v>474.33</v>
      </c>
      <c r="Q13" s="12" t="s">
        <v>23</v>
      </c>
      <c r="R13" s="13">
        <v>598.46</v>
      </c>
      <c r="S13" s="13" t="s">
        <v>23</v>
      </c>
      <c r="T13" s="13">
        <v>124.14</v>
      </c>
      <c r="U13" s="13" t="s">
        <v>23</v>
      </c>
      <c r="V13" s="13" t="s">
        <v>23</v>
      </c>
      <c r="W13" s="13" t="s">
        <v>23</v>
      </c>
      <c r="X13" s="13" t="s">
        <v>23</v>
      </c>
      <c r="Y13" s="29">
        <v>0</v>
      </c>
      <c r="Z13" s="13">
        <v>35.32</v>
      </c>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c r="BM13" s="13"/>
      <c r="BN13" s="13"/>
      <c r="BO13" s="13"/>
      <c r="BP13" s="13"/>
      <c r="BQ13" s="13"/>
      <c r="BR13" s="13"/>
      <c r="BS13" s="13"/>
      <c r="BT13" s="29">
        <v>204</v>
      </c>
      <c r="BU13" s="29">
        <v>17</v>
      </c>
      <c r="BV13" s="29" t="s">
        <v>35</v>
      </c>
      <c r="BX13" s="29">
        <v>1</v>
      </c>
      <c r="BY13" s="29">
        <v>2</v>
      </c>
      <c r="BZ13" s="29">
        <v>0</v>
      </c>
      <c r="CA13" s="29">
        <v>1</v>
      </c>
      <c r="CB13" s="10">
        <f t="shared" si="5"/>
        <v>0.1111111111111111</v>
      </c>
      <c r="CC13" s="10">
        <f t="shared" si="5"/>
        <v>0.15384615384615385</v>
      </c>
      <c r="CD13" s="10">
        <f t="shared" si="5"/>
        <v>0</v>
      </c>
      <c r="CE13" s="10">
        <f t="shared" si="5"/>
        <v>7.8947368421052641E-2</v>
      </c>
      <c r="CF13" s="29">
        <v>2</v>
      </c>
      <c r="CG13" s="29">
        <v>2</v>
      </c>
      <c r="CH13" s="29">
        <v>4</v>
      </c>
      <c r="CI13" s="96">
        <v>2.6666666666666665</v>
      </c>
      <c r="CJ13" s="10">
        <f t="shared" si="1"/>
        <v>1.5873015873015872E-2</v>
      </c>
      <c r="CK13" s="10">
        <f t="shared" si="2"/>
        <v>2.3255813953488372E-2</v>
      </c>
      <c r="CL13" s="10">
        <f t="shared" si="3"/>
        <v>6.5573770491803282E-2</v>
      </c>
      <c r="CM13" s="10">
        <f t="shared" si="4"/>
        <v>2.9520295202952025E-2</v>
      </c>
      <c r="CN13" s="29">
        <v>0.5</v>
      </c>
      <c r="CO13" s="29">
        <v>0.2</v>
      </c>
      <c r="CP13" s="29">
        <v>0.2</v>
      </c>
      <c r="CQ13" s="29">
        <v>0</v>
      </c>
      <c r="CR13" s="10">
        <v>0.03</v>
      </c>
      <c r="CS13" s="10">
        <v>0.01</v>
      </c>
      <c r="CT13" s="10">
        <v>0.03</v>
      </c>
      <c r="CU13" s="10">
        <v>0</v>
      </c>
      <c r="CV13" s="10">
        <v>1.7500000000000002E-2</v>
      </c>
      <c r="CW13" s="85" t="s">
        <v>23</v>
      </c>
      <c r="CX13" s="85" t="s">
        <v>23</v>
      </c>
      <c r="CY13" s="85">
        <v>0</v>
      </c>
      <c r="CZ13" s="85" t="s">
        <v>23</v>
      </c>
      <c r="DA13" s="85">
        <v>0</v>
      </c>
      <c r="DB13" s="85" t="s">
        <v>23</v>
      </c>
      <c r="DC13" s="85">
        <v>0</v>
      </c>
      <c r="DD13" s="85" t="s">
        <v>23</v>
      </c>
      <c r="DE13" s="85" t="s">
        <v>23</v>
      </c>
      <c r="DF13" s="29">
        <v>650238</v>
      </c>
      <c r="DG13" s="29">
        <v>454730</v>
      </c>
      <c r="DH13" s="29">
        <v>108000</v>
      </c>
      <c r="DI13" s="29">
        <v>161000</v>
      </c>
      <c r="DJ13" s="101">
        <f>DF13/(3751994+380000)</f>
        <v>0.15736663702803053</v>
      </c>
      <c r="DK13" s="101">
        <f>DG13/SUM(DG$12:DG$13,DG$16:DG$17)</f>
        <v>0.10532228066640263</v>
      </c>
      <c r="DL13" s="85">
        <f>DF13/SUM(DF$12:DF$13)</f>
        <v>0.172905425833837</v>
      </c>
      <c r="DM13" s="85">
        <f>DG13/SUM(DG$12:DG$13)</f>
        <v>0.11604666059292945</v>
      </c>
      <c r="DN13" s="10">
        <v>0.03</v>
      </c>
      <c r="DO13" s="10">
        <v>0.04</v>
      </c>
      <c r="DP13" s="29">
        <v>771</v>
      </c>
      <c r="DQ13" s="29">
        <v>543</v>
      </c>
      <c r="DR13" s="29">
        <v>1314</v>
      </c>
      <c r="DS13" s="29">
        <v>714</v>
      </c>
      <c r="DT13" s="29">
        <v>839</v>
      </c>
      <c r="DU13" s="29">
        <v>591</v>
      </c>
      <c r="DV13" s="29">
        <v>1430</v>
      </c>
      <c r="DW13" s="29">
        <v>390</v>
      </c>
      <c r="DX13" s="29">
        <v>950.96</v>
      </c>
      <c r="DY13" s="29">
        <v>353.42</v>
      </c>
      <c r="DZ13" s="29">
        <v>1304.3800000000001</v>
      </c>
      <c r="EA13" s="29">
        <v>385.91000000000008</v>
      </c>
      <c r="EB13" s="29" t="s">
        <v>352</v>
      </c>
      <c r="EC13" s="13">
        <v>0</v>
      </c>
      <c r="ED13" s="13">
        <v>25.17</v>
      </c>
      <c r="EE13" s="13">
        <v>0</v>
      </c>
      <c r="EF13" s="13">
        <v>24.1</v>
      </c>
      <c r="EG13" s="13">
        <v>0</v>
      </c>
      <c r="EH13" s="13">
        <v>23.84</v>
      </c>
      <c r="EI13" s="13">
        <v>0</v>
      </c>
      <c r="EJ13" s="13">
        <v>24.03</v>
      </c>
      <c r="EK13" s="29" t="s">
        <v>639</v>
      </c>
      <c r="EL13" s="29">
        <v>0</v>
      </c>
      <c r="EM13" s="29">
        <v>218</v>
      </c>
      <c r="EN13" s="29">
        <v>0</v>
      </c>
      <c r="EO13" s="29">
        <v>30</v>
      </c>
      <c r="EP13" s="10">
        <v>0.12</v>
      </c>
      <c r="EQ13" s="29" t="s">
        <v>23</v>
      </c>
      <c r="ER13" s="29" t="s">
        <v>23</v>
      </c>
      <c r="ES13" s="29">
        <v>13</v>
      </c>
      <c r="ET13">
        <v>66</v>
      </c>
      <c r="EU13" s="29">
        <v>135</v>
      </c>
      <c r="EV13" s="29" t="s">
        <v>312</v>
      </c>
      <c r="EX13">
        <v>-66</v>
      </c>
      <c r="EY13" s="29">
        <v>22</v>
      </c>
      <c r="EZ13" s="10">
        <f>EY13/$EU$12</f>
        <v>0.14012738853503184</v>
      </c>
    </row>
    <row r="14" spans="1:156" x14ac:dyDescent="0.2">
      <c r="A14" s="29" t="s">
        <v>5</v>
      </c>
      <c r="B14" s="29">
        <v>7</v>
      </c>
      <c r="C14" s="29" t="s">
        <v>331</v>
      </c>
      <c r="D14" s="66" t="s">
        <v>138</v>
      </c>
      <c r="E14" s="29"/>
      <c r="F14" s="13"/>
      <c r="G14" s="307"/>
      <c r="H14" s="29" t="s">
        <v>36</v>
      </c>
      <c r="O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29">
        <v>101</v>
      </c>
      <c r="BU14" s="29" t="s">
        <v>23</v>
      </c>
      <c r="BV14" s="29" t="s">
        <v>36</v>
      </c>
      <c r="BX14" s="29" t="s">
        <v>23</v>
      </c>
      <c r="BY14" s="29" t="s">
        <v>23</v>
      </c>
      <c r="BZ14" s="29" t="s">
        <v>23</v>
      </c>
      <c r="CA14" s="29" t="s">
        <v>23</v>
      </c>
      <c r="CB14" s="29" t="s">
        <v>23</v>
      </c>
      <c r="CC14" s="29" t="s">
        <v>23</v>
      </c>
      <c r="CD14" s="29" t="s">
        <v>23</v>
      </c>
      <c r="CE14" s="29" t="s">
        <v>23</v>
      </c>
      <c r="CF14" s="29">
        <v>0</v>
      </c>
      <c r="CG14" s="29">
        <v>0</v>
      </c>
      <c r="CH14" s="29">
        <v>0</v>
      </c>
      <c r="CI14" s="96">
        <v>0</v>
      </c>
      <c r="CJ14" s="10">
        <f t="shared" si="1"/>
        <v>0</v>
      </c>
      <c r="CK14" s="10">
        <f t="shared" si="2"/>
        <v>0</v>
      </c>
      <c r="CL14" s="10">
        <f t="shared" si="3"/>
        <v>0</v>
      </c>
      <c r="CM14" s="10">
        <f t="shared" si="4"/>
        <v>0</v>
      </c>
      <c r="CN14" s="29">
        <v>0</v>
      </c>
      <c r="CO14" s="29">
        <v>0</v>
      </c>
      <c r="CP14" s="29">
        <v>0</v>
      </c>
      <c r="CQ14" s="29">
        <v>0</v>
      </c>
      <c r="CR14" s="10">
        <v>0</v>
      </c>
      <c r="CS14" s="10">
        <v>0</v>
      </c>
      <c r="CT14" s="10">
        <v>0</v>
      </c>
      <c r="CU14" s="10">
        <v>0</v>
      </c>
      <c r="CV14" s="10">
        <v>0</v>
      </c>
      <c r="CW14" s="10" t="s">
        <v>23</v>
      </c>
      <c r="CX14" s="10">
        <v>8.2746573013301253E-3</v>
      </c>
      <c r="CY14" s="10" t="s">
        <v>23</v>
      </c>
      <c r="CZ14" s="10">
        <v>1.137948314380983E-2</v>
      </c>
      <c r="DA14" s="10" t="s">
        <v>23</v>
      </c>
      <c r="DB14" s="10">
        <v>9.6493158113475086E-3</v>
      </c>
      <c r="DC14" s="10" t="s">
        <v>23</v>
      </c>
      <c r="DD14" s="53">
        <v>3.0276640917651699E-3</v>
      </c>
      <c r="DE14" s="53" t="s">
        <v>23</v>
      </c>
      <c r="DF14" s="29" t="s">
        <v>23</v>
      </c>
      <c r="DG14" s="29" t="s">
        <v>23</v>
      </c>
      <c r="DH14" s="29" t="s">
        <v>23</v>
      </c>
      <c r="DI14" s="29" t="s">
        <v>23</v>
      </c>
      <c r="DJ14" s="101" t="s">
        <v>23</v>
      </c>
      <c r="DK14" s="101" t="s">
        <v>23</v>
      </c>
      <c r="DL14" s="13" t="s">
        <v>23</v>
      </c>
      <c r="DM14" s="13" t="s">
        <v>23</v>
      </c>
      <c r="DN14" s="29" t="s">
        <v>23</v>
      </c>
      <c r="DO14" s="29" t="s">
        <v>23</v>
      </c>
      <c r="DP14" s="29">
        <v>1361</v>
      </c>
      <c r="DQ14" s="29">
        <v>850</v>
      </c>
      <c r="DR14" s="29">
        <v>2211</v>
      </c>
      <c r="DS14" s="29">
        <v>1311</v>
      </c>
      <c r="DT14" s="29" t="s">
        <v>23</v>
      </c>
      <c r="DU14" s="29" t="s">
        <v>23</v>
      </c>
      <c r="DV14" s="29" t="s">
        <v>23</v>
      </c>
      <c r="DW14" s="29" t="s">
        <v>23</v>
      </c>
      <c r="DX14" s="13" t="s">
        <v>23</v>
      </c>
      <c r="DY14" s="13" t="s">
        <v>23</v>
      </c>
      <c r="DZ14" s="29" t="s">
        <v>23</v>
      </c>
      <c r="EA14" s="13" t="s">
        <v>23</v>
      </c>
      <c r="EB14" s="13"/>
      <c r="EC14" s="438">
        <v>-13</v>
      </c>
      <c r="ED14" s="438">
        <v>47.01</v>
      </c>
      <c r="EE14" s="438">
        <v>-12.4</v>
      </c>
      <c r="EF14" s="438">
        <v>44.39</v>
      </c>
      <c r="EG14" s="438">
        <v>-12.3</v>
      </c>
      <c r="EH14" s="438">
        <v>43.76</v>
      </c>
      <c r="EI14" s="438">
        <v>-12.4</v>
      </c>
      <c r="EJ14" s="438">
        <v>44.22</v>
      </c>
      <c r="EK14" s="29" t="s">
        <v>642</v>
      </c>
      <c r="EL14" s="29">
        <v>80</v>
      </c>
      <c r="EM14" s="29">
        <v>152</v>
      </c>
      <c r="EN14" s="29">
        <v>-80</v>
      </c>
      <c r="EO14" s="29">
        <v>96</v>
      </c>
      <c r="EP14" s="10">
        <v>0.39</v>
      </c>
      <c r="EQ14" s="29">
        <v>30</v>
      </c>
      <c r="ER14" s="29">
        <v>30</v>
      </c>
      <c r="ES14" s="29">
        <v>13</v>
      </c>
      <c r="ET14">
        <v>59</v>
      </c>
      <c r="EU14" s="29">
        <v>113</v>
      </c>
      <c r="EV14" s="29" t="s">
        <v>309</v>
      </c>
      <c r="EX14" s="29">
        <v>-59</v>
      </c>
      <c r="EY14" s="29">
        <v>44</v>
      </c>
      <c r="EZ14" s="10">
        <f>EY14/$EU$12</f>
        <v>0.28025477707006369</v>
      </c>
    </row>
    <row r="15" spans="1:156" x14ac:dyDescent="0.2">
      <c r="A15" s="29" t="s">
        <v>5</v>
      </c>
      <c r="B15" s="29">
        <v>8</v>
      </c>
      <c r="C15" s="29" t="s">
        <v>21</v>
      </c>
      <c r="D15" s="66" t="s">
        <v>138</v>
      </c>
      <c r="E15" s="29"/>
      <c r="F15" s="13"/>
      <c r="G15" s="307"/>
      <c r="H15" s="29" t="s">
        <v>87</v>
      </c>
      <c r="I15" s="13" t="s">
        <v>23</v>
      </c>
      <c r="J15" s="13" t="s">
        <v>23</v>
      </c>
      <c r="K15" s="13" t="s">
        <v>23</v>
      </c>
      <c r="L15" s="13" t="s">
        <v>23</v>
      </c>
      <c r="M15" s="29">
        <v>20</v>
      </c>
      <c r="N15" s="29">
        <v>0.61</v>
      </c>
      <c r="O15" s="13">
        <v>0.85</v>
      </c>
      <c r="P15" s="13">
        <f>427.98</f>
        <v>427.98</v>
      </c>
      <c r="Q15" s="13" t="s">
        <v>23</v>
      </c>
      <c r="R15" s="13">
        <v>2235.7800000000002</v>
      </c>
      <c r="S15" s="13" t="s">
        <v>23</v>
      </c>
      <c r="T15" s="13">
        <v>1807.8</v>
      </c>
      <c r="U15" s="13" t="s">
        <v>23</v>
      </c>
      <c r="V15" s="13">
        <v>242.5</v>
      </c>
      <c r="W15" s="13" t="s">
        <v>23</v>
      </c>
      <c r="X15" s="13">
        <v>159</v>
      </c>
      <c r="Y15" s="13">
        <v>0</v>
      </c>
      <c r="Z15" s="13">
        <v>83.4</v>
      </c>
      <c r="AA15" s="13"/>
      <c r="AB15" s="13"/>
      <c r="AC15" s="13"/>
      <c r="AD15" s="13"/>
      <c r="AE15" s="13"/>
      <c r="AF15" s="13"/>
      <c r="AG15" s="13"/>
      <c r="AH15" s="13"/>
      <c r="AI15" s="13"/>
      <c r="AJ15" s="13"/>
      <c r="AK15" s="13"/>
      <c r="AL15" s="13"/>
      <c r="AM15" s="13"/>
      <c r="AN15" s="13"/>
      <c r="AO15" s="13"/>
      <c r="AP15" s="13" t="s">
        <v>222</v>
      </c>
      <c r="AQ15" s="13">
        <v>20</v>
      </c>
      <c r="AR15" s="13">
        <v>0.59</v>
      </c>
      <c r="AS15" s="13">
        <v>0.9</v>
      </c>
      <c r="AT15" s="13">
        <v>493</v>
      </c>
      <c r="AU15" s="13" t="s">
        <v>23</v>
      </c>
      <c r="AV15" s="13">
        <v>1418</v>
      </c>
      <c r="AW15" s="13" t="s">
        <v>23</v>
      </c>
      <c r="AX15" s="13">
        <v>926</v>
      </c>
      <c r="AY15" s="13" t="s">
        <v>23</v>
      </c>
      <c r="AZ15" s="13" t="s">
        <v>23</v>
      </c>
      <c r="BA15" s="13" t="s">
        <v>23</v>
      </c>
      <c r="BB15" s="13" t="s">
        <v>23</v>
      </c>
      <c r="BC15" s="13">
        <v>0</v>
      </c>
      <c r="BD15" s="13">
        <v>81.5</v>
      </c>
      <c r="BE15" s="13"/>
      <c r="BF15" s="13"/>
      <c r="BG15" s="13"/>
      <c r="BH15" s="13"/>
      <c r="BI15" s="13"/>
      <c r="BJ15" s="13"/>
      <c r="BK15" s="13"/>
      <c r="BL15" s="13"/>
      <c r="BM15" s="13"/>
      <c r="BN15" s="13"/>
      <c r="BO15" s="13"/>
      <c r="BP15" s="13"/>
      <c r="BQ15" s="13"/>
      <c r="BR15" s="13"/>
      <c r="BS15" s="13"/>
      <c r="BT15" s="29">
        <v>71</v>
      </c>
      <c r="BU15" s="29">
        <v>17</v>
      </c>
      <c r="BV15" s="29" t="s">
        <v>36</v>
      </c>
      <c r="BX15" s="29" t="s">
        <v>23</v>
      </c>
      <c r="BY15" s="29" t="s">
        <v>23</v>
      </c>
      <c r="BZ15" s="29" t="s">
        <v>23</v>
      </c>
      <c r="CA15" s="29" t="s">
        <v>23</v>
      </c>
      <c r="CB15" s="29" t="s">
        <v>23</v>
      </c>
      <c r="CC15" s="29" t="s">
        <v>23</v>
      </c>
      <c r="CD15" s="29" t="s">
        <v>23</v>
      </c>
      <c r="CE15" s="29" t="s">
        <v>23</v>
      </c>
      <c r="CF15" s="29">
        <v>0</v>
      </c>
      <c r="CG15" s="29">
        <v>0</v>
      </c>
      <c r="CH15" s="29">
        <v>0</v>
      </c>
      <c r="CI15" s="96">
        <v>0</v>
      </c>
      <c r="CJ15" s="10">
        <f t="shared" si="1"/>
        <v>0</v>
      </c>
      <c r="CK15" s="10">
        <f t="shared" si="2"/>
        <v>0</v>
      </c>
      <c r="CL15" s="10">
        <f t="shared" si="3"/>
        <v>0</v>
      </c>
      <c r="CM15" s="10">
        <f t="shared" si="4"/>
        <v>0</v>
      </c>
      <c r="CN15" s="29">
        <v>0</v>
      </c>
      <c r="CO15" s="29">
        <v>0</v>
      </c>
      <c r="CP15" s="29">
        <v>0</v>
      </c>
      <c r="CQ15" s="29">
        <v>0</v>
      </c>
      <c r="CR15" s="10">
        <v>0</v>
      </c>
      <c r="CS15" s="10">
        <v>0</v>
      </c>
      <c r="CT15" s="10">
        <v>0</v>
      </c>
      <c r="CU15" s="10">
        <v>0</v>
      </c>
      <c r="CV15" s="10">
        <v>0</v>
      </c>
      <c r="CW15" s="10" t="s">
        <v>23</v>
      </c>
      <c r="CX15" s="10" t="s">
        <v>23</v>
      </c>
      <c r="CY15" s="10" t="s">
        <v>23</v>
      </c>
      <c r="CZ15" s="10" t="s">
        <v>23</v>
      </c>
      <c r="DA15" s="10" t="s">
        <v>23</v>
      </c>
      <c r="DB15" s="10" t="s">
        <v>23</v>
      </c>
      <c r="DC15" s="10" t="s">
        <v>23</v>
      </c>
      <c r="DD15" s="10" t="s">
        <v>23</v>
      </c>
      <c r="DE15" s="10" t="s">
        <v>23</v>
      </c>
      <c r="DF15" s="29" t="s">
        <v>23</v>
      </c>
      <c r="DG15" s="29" t="s">
        <v>23</v>
      </c>
      <c r="DH15" s="29" t="s">
        <v>23</v>
      </c>
      <c r="DI15" s="29" t="s">
        <v>23</v>
      </c>
      <c r="DJ15" s="101" t="s">
        <v>23</v>
      </c>
      <c r="DK15" s="101" t="s">
        <v>23</v>
      </c>
      <c r="DL15" s="13" t="s">
        <v>23</v>
      </c>
      <c r="DM15" s="13" t="s">
        <v>23</v>
      </c>
      <c r="DN15" s="29" t="s">
        <v>23</v>
      </c>
      <c r="DO15" s="29" t="s">
        <v>23</v>
      </c>
      <c r="DP15" s="29">
        <v>1936</v>
      </c>
      <c r="DQ15" s="29">
        <v>960</v>
      </c>
      <c r="DR15" s="29">
        <v>2896</v>
      </c>
      <c r="DS15" s="29">
        <v>1996</v>
      </c>
      <c r="DT15" s="29" t="s">
        <v>23</v>
      </c>
      <c r="DU15" s="29" t="s">
        <v>23</v>
      </c>
      <c r="DV15" s="29" t="s">
        <v>23</v>
      </c>
      <c r="DW15" s="29" t="s">
        <v>23</v>
      </c>
      <c r="DX15" s="13" t="s">
        <v>23</v>
      </c>
      <c r="DY15" s="13" t="s">
        <v>23</v>
      </c>
      <c r="DZ15" s="29" t="s">
        <v>23</v>
      </c>
      <c r="EA15" s="13" t="s">
        <v>23</v>
      </c>
      <c r="EB15" s="13"/>
      <c r="EC15" s="438">
        <v>5.0999999999999996</v>
      </c>
      <c r="ED15" s="438">
        <v>15.1</v>
      </c>
      <c r="EE15" s="438">
        <v>4.8</v>
      </c>
      <c r="EF15" s="438">
        <v>13.52</v>
      </c>
      <c r="EG15" s="438">
        <v>4.7</v>
      </c>
      <c r="EH15" s="438">
        <v>13.09</v>
      </c>
      <c r="EI15" s="438">
        <v>4.7</v>
      </c>
      <c r="EJ15" s="438">
        <v>13.37</v>
      </c>
      <c r="EK15" s="29" t="s">
        <v>637</v>
      </c>
      <c r="EL15" s="29">
        <v>80</v>
      </c>
      <c r="EM15" s="29">
        <v>159</v>
      </c>
      <c r="EN15" s="29">
        <v>-80</v>
      </c>
      <c r="EO15" s="29">
        <v>89</v>
      </c>
      <c r="EP15" s="10">
        <v>0.36</v>
      </c>
      <c r="EQ15" s="29" t="s">
        <v>23</v>
      </c>
      <c r="ER15" s="29" t="s">
        <v>23</v>
      </c>
      <c r="ES15" s="29">
        <v>20</v>
      </c>
      <c r="ET15">
        <v>29</v>
      </c>
      <c r="EU15" s="29">
        <v>107</v>
      </c>
      <c r="EV15" s="29" t="s">
        <v>310</v>
      </c>
      <c r="EW15" s="29" t="s">
        <v>325</v>
      </c>
      <c r="EX15" s="29">
        <v>-29</v>
      </c>
      <c r="EY15" s="29">
        <v>50</v>
      </c>
      <c r="EZ15" s="10">
        <f>EY15/$EU$12</f>
        <v>0.31847133757961782</v>
      </c>
    </row>
    <row r="16" spans="1:156" x14ac:dyDescent="0.2">
      <c r="A16" s="29" t="s">
        <v>5</v>
      </c>
      <c r="B16" s="29">
        <v>9</v>
      </c>
      <c r="C16" s="29" t="s">
        <v>39</v>
      </c>
      <c r="D16" s="66" t="s">
        <v>138</v>
      </c>
      <c r="E16" s="29"/>
      <c r="F16" s="13" t="s">
        <v>222</v>
      </c>
      <c r="G16" s="307">
        <v>200000</v>
      </c>
      <c r="H16" s="29" t="s">
        <v>36</v>
      </c>
      <c r="O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29" t="s">
        <v>23</v>
      </c>
      <c r="BU16" s="29" t="s">
        <v>23</v>
      </c>
      <c r="BV16" s="29" t="s">
        <v>36</v>
      </c>
      <c r="BX16" s="29" t="s">
        <v>23</v>
      </c>
      <c r="BY16" s="29" t="s">
        <v>23</v>
      </c>
      <c r="BZ16" s="29" t="s">
        <v>23</v>
      </c>
      <c r="CA16" s="29" t="s">
        <v>23</v>
      </c>
      <c r="CB16" s="29" t="s">
        <v>23</v>
      </c>
      <c r="CC16" s="29" t="s">
        <v>23</v>
      </c>
      <c r="CD16" s="29" t="s">
        <v>23</v>
      </c>
      <c r="CE16" s="29" t="s">
        <v>23</v>
      </c>
      <c r="CF16" s="29">
        <v>0</v>
      </c>
      <c r="CG16" s="29">
        <v>0</v>
      </c>
      <c r="CH16" s="29">
        <v>0</v>
      </c>
      <c r="CI16" s="96">
        <v>0</v>
      </c>
      <c r="CJ16" s="10">
        <f t="shared" si="1"/>
        <v>0</v>
      </c>
      <c r="CK16" s="10">
        <f t="shared" si="2"/>
        <v>0</v>
      </c>
      <c r="CL16" s="10">
        <f t="shared" si="3"/>
        <v>0</v>
      </c>
      <c r="CM16" s="10">
        <f t="shared" si="4"/>
        <v>0</v>
      </c>
      <c r="CN16" s="29">
        <v>2</v>
      </c>
      <c r="CO16" s="29">
        <v>1.5</v>
      </c>
      <c r="CP16" s="29">
        <v>0</v>
      </c>
      <c r="CQ16" s="29">
        <v>0</v>
      </c>
      <c r="CR16" s="10">
        <v>0</v>
      </c>
      <c r="CS16" s="10">
        <v>0</v>
      </c>
      <c r="CT16" s="10">
        <v>0</v>
      </c>
      <c r="CU16" s="10">
        <v>0</v>
      </c>
      <c r="CV16" s="10">
        <v>0</v>
      </c>
      <c r="CW16" s="10">
        <v>1.4648648955044525E-2</v>
      </c>
      <c r="CX16" s="10">
        <v>3.1159429260951988E-2</v>
      </c>
      <c r="CY16" s="10">
        <v>1.2811663143570762E-2</v>
      </c>
      <c r="CZ16" s="10">
        <v>2.4819346706022493E-2</v>
      </c>
      <c r="DA16" s="10">
        <v>1.7754841720429057E-2</v>
      </c>
      <c r="DB16" s="10">
        <v>2.5688022420318746E-2</v>
      </c>
      <c r="DC16" s="10">
        <v>2.56139974689607E-2</v>
      </c>
      <c r="DD16" s="10">
        <v>4.2344695990227464E-2</v>
      </c>
      <c r="DE16" s="10">
        <v>4.2999999999999997E-2</v>
      </c>
      <c r="DF16" s="29">
        <v>46987</v>
      </c>
      <c r="DG16" s="29">
        <v>14974</v>
      </c>
      <c r="DH16" s="29" t="s">
        <v>23</v>
      </c>
      <c r="DI16" s="29" t="s">
        <v>23</v>
      </c>
      <c r="DJ16" s="101">
        <f>DF16/(3751994+380000)</f>
        <v>1.137150731583831E-2</v>
      </c>
      <c r="DK16" s="53">
        <f>DG16/SUM(DG$12:DG$13,DG$16:DG$17)</f>
        <v>3.4682027372258547E-3</v>
      </c>
      <c r="DL16" s="85">
        <f>DF16/SUM(DF$16:DF$17)</f>
        <v>0.12365</v>
      </c>
      <c r="DM16" s="85">
        <f>DG16/SUM(DG$16:DG$17)</f>
        <v>3.7528822055137842E-2</v>
      </c>
      <c r="DN16" s="29" t="s">
        <v>23</v>
      </c>
      <c r="DO16" s="29" t="s">
        <v>23</v>
      </c>
      <c r="DP16" s="29" t="s">
        <v>23</v>
      </c>
      <c r="DQ16" s="29" t="s">
        <v>23</v>
      </c>
      <c r="DR16" s="29" t="s">
        <v>23</v>
      </c>
      <c r="DS16" s="29" t="s">
        <v>23</v>
      </c>
      <c r="DT16" s="29">
        <v>1122</v>
      </c>
      <c r="DU16" s="29">
        <v>1180</v>
      </c>
      <c r="DV16" s="29">
        <v>2302</v>
      </c>
      <c r="DW16" s="29">
        <v>1262</v>
      </c>
      <c r="DX16" s="29">
        <v>593.29999999999995</v>
      </c>
      <c r="DY16" s="29">
        <v>326.7</v>
      </c>
      <c r="DZ16" s="29">
        <v>920</v>
      </c>
      <c r="EA16" s="29">
        <v>1.5299999999999727</v>
      </c>
      <c r="EB16" s="29" t="s">
        <v>353</v>
      </c>
      <c r="EC16" s="13">
        <v>8.6</v>
      </c>
      <c r="ED16" s="13">
        <v>2.36</v>
      </c>
      <c r="EE16" s="13">
        <v>8.1</v>
      </c>
      <c r="EF16" s="13">
        <v>1.37</v>
      </c>
      <c r="EG16" s="13">
        <v>8</v>
      </c>
      <c r="EH16" s="13">
        <v>1.03</v>
      </c>
      <c r="EI16" s="13">
        <v>8.1</v>
      </c>
      <c r="EJ16" s="13">
        <v>1.28</v>
      </c>
      <c r="EK16" s="29" t="s">
        <v>640</v>
      </c>
      <c r="EL16" s="29">
        <v>0</v>
      </c>
      <c r="EM16" s="29">
        <v>178</v>
      </c>
      <c r="EN16" s="29">
        <v>0</v>
      </c>
      <c r="EO16" s="29">
        <v>70</v>
      </c>
      <c r="EP16" s="10">
        <v>0.26</v>
      </c>
      <c r="EQ16" s="29" t="s">
        <v>23</v>
      </c>
      <c r="ER16" s="29" t="s">
        <v>23</v>
      </c>
      <c r="ES16" s="29" t="s">
        <v>23</v>
      </c>
      <c r="ET16">
        <v>29</v>
      </c>
      <c r="EU16" s="29">
        <v>110</v>
      </c>
      <c r="EV16" s="29" t="s">
        <v>311</v>
      </c>
      <c r="EX16" s="29">
        <v>-29</v>
      </c>
      <c r="EY16" s="29">
        <v>47</v>
      </c>
      <c r="EZ16" s="10">
        <f>EY16/$EU$12</f>
        <v>0.29936305732484075</v>
      </c>
    </row>
    <row r="17" spans="1:156" x14ac:dyDescent="0.2">
      <c r="A17" s="29" t="s">
        <v>5</v>
      </c>
      <c r="B17" s="29">
        <v>10</v>
      </c>
      <c r="C17" s="29" t="s">
        <v>332</v>
      </c>
      <c r="D17" s="66" t="s">
        <v>138</v>
      </c>
      <c r="E17" s="29"/>
      <c r="F17" s="13"/>
      <c r="G17" s="307"/>
      <c r="H17" s="29" t="s">
        <v>36</v>
      </c>
      <c r="O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29">
        <v>728</v>
      </c>
      <c r="BU17" s="29">
        <v>28</v>
      </c>
      <c r="BV17" s="29" t="s">
        <v>35</v>
      </c>
      <c r="BX17" s="29" t="s">
        <v>23</v>
      </c>
      <c r="BY17" s="29" t="s">
        <v>23</v>
      </c>
      <c r="BZ17" s="29" t="s">
        <v>23</v>
      </c>
      <c r="CA17" s="29" t="s">
        <v>23</v>
      </c>
      <c r="CB17" s="29" t="s">
        <v>23</v>
      </c>
      <c r="CC17" s="29" t="s">
        <v>23</v>
      </c>
      <c r="CD17" s="29" t="s">
        <v>23</v>
      </c>
      <c r="CE17" s="29" t="s">
        <v>23</v>
      </c>
      <c r="CF17" s="29">
        <v>13</v>
      </c>
      <c r="CG17" s="29">
        <v>4</v>
      </c>
      <c r="CH17" s="29">
        <v>0</v>
      </c>
      <c r="CI17" s="97">
        <v>5.666666666666667</v>
      </c>
      <c r="CJ17" s="10">
        <f t="shared" si="1"/>
        <v>0.10317460317460317</v>
      </c>
      <c r="CK17" s="10">
        <f t="shared" si="2"/>
        <v>4.6511627906976744E-2</v>
      </c>
      <c r="CL17" s="10">
        <f t="shared" si="3"/>
        <v>0</v>
      </c>
      <c r="CM17" s="10">
        <f t="shared" si="4"/>
        <v>6.273062730627306E-2</v>
      </c>
      <c r="CN17" s="29">
        <v>0</v>
      </c>
      <c r="CO17" s="29">
        <v>0</v>
      </c>
      <c r="CP17" s="29">
        <v>0</v>
      </c>
      <c r="CQ17" s="29">
        <v>0</v>
      </c>
      <c r="CR17" s="10">
        <v>0.09</v>
      </c>
      <c r="CS17" s="10">
        <v>0.08</v>
      </c>
      <c r="CT17" s="10">
        <v>0</v>
      </c>
      <c r="CU17" s="10">
        <v>0</v>
      </c>
      <c r="CV17" s="10">
        <v>4.2499999999999996E-2</v>
      </c>
      <c r="CW17" s="85" t="s">
        <v>23</v>
      </c>
      <c r="CX17" s="85" t="s">
        <v>23</v>
      </c>
      <c r="CY17" s="85" t="s">
        <v>23</v>
      </c>
      <c r="CZ17" s="85" t="s">
        <v>23</v>
      </c>
      <c r="DA17" s="85" t="s">
        <v>23</v>
      </c>
      <c r="DB17" s="85" t="s">
        <v>23</v>
      </c>
      <c r="DC17" s="85" t="s">
        <v>23</v>
      </c>
      <c r="DD17" s="85" t="s">
        <v>23</v>
      </c>
      <c r="DE17" s="85" t="s">
        <v>23</v>
      </c>
      <c r="DF17" s="29">
        <v>333013</v>
      </c>
      <c r="DG17" s="29">
        <v>384026</v>
      </c>
      <c r="DH17" s="29">
        <v>339000</v>
      </c>
      <c r="DI17" s="29">
        <v>397000</v>
      </c>
      <c r="DJ17" s="101">
        <f>DF17/(3751994+380000)</f>
        <v>8.0593776273634468E-2</v>
      </c>
      <c r="DK17" s="101">
        <f>DG17/SUM(DG$12:DG$13,DG$16:DG$17)</f>
        <v>8.8946174994383342E-2</v>
      </c>
      <c r="DL17" s="85">
        <f>DF17/SUM(DF$16:DF$17)</f>
        <v>0.87634999999999996</v>
      </c>
      <c r="DM17" s="85">
        <f>DG17/SUM(DG$16:DG$17)</f>
        <v>0.96247117794486214</v>
      </c>
      <c r="DN17" s="29" t="s">
        <v>23</v>
      </c>
      <c r="DO17" s="29" t="s">
        <v>23</v>
      </c>
      <c r="DP17" s="29">
        <v>1300</v>
      </c>
      <c r="DQ17" s="29">
        <v>864</v>
      </c>
      <c r="DR17" s="29">
        <v>2164</v>
      </c>
      <c r="DS17" s="29">
        <v>1264</v>
      </c>
      <c r="DT17" s="29" t="s">
        <v>23</v>
      </c>
      <c r="DU17" s="29" t="s">
        <v>23</v>
      </c>
      <c r="DV17" s="29" t="s">
        <v>23</v>
      </c>
      <c r="DW17" s="29" t="s">
        <v>23</v>
      </c>
      <c r="DX17" s="13" t="s">
        <v>23</v>
      </c>
      <c r="DY17" s="13" t="s">
        <v>23</v>
      </c>
      <c r="DZ17" s="29" t="s">
        <v>23</v>
      </c>
      <c r="EA17" s="13" t="s">
        <v>23</v>
      </c>
      <c r="EB17" s="29" t="s">
        <v>355</v>
      </c>
      <c r="EC17" s="13">
        <v>5.0999999999999996</v>
      </c>
      <c r="ED17" s="13">
        <v>15.1</v>
      </c>
      <c r="EE17" s="13">
        <v>4.8</v>
      </c>
      <c r="EF17" s="13">
        <v>13.52</v>
      </c>
      <c r="EG17" s="13">
        <v>4.7</v>
      </c>
      <c r="EH17" s="13">
        <v>13.09</v>
      </c>
      <c r="EI17" s="13">
        <v>4.7</v>
      </c>
      <c r="EJ17" s="13">
        <v>13.37</v>
      </c>
      <c r="EK17" s="29" t="s">
        <v>641</v>
      </c>
      <c r="EL17" s="29">
        <v>0</v>
      </c>
      <c r="EM17" s="29">
        <v>183</v>
      </c>
      <c r="EN17" s="29">
        <v>0</v>
      </c>
      <c r="EO17" s="29">
        <v>65</v>
      </c>
      <c r="EP17" s="10">
        <v>0.28000000000000003</v>
      </c>
      <c r="EQ17" s="29" t="s">
        <v>23</v>
      </c>
      <c r="ER17" s="29" t="s">
        <v>23</v>
      </c>
      <c r="ES17" s="29">
        <v>20</v>
      </c>
      <c r="ET17">
        <v>29</v>
      </c>
      <c r="EU17" s="29">
        <v>98</v>
      </c>
      <c r="EV17" s="29" t="s">
        <v>315</v>
      </c>
      <c r="EW17" s="29" t="s">
        <v>324</v>
      </c>
      <c r="EX17" s="29">
        <v>-29</v>
      </c>
      <c r="EY17" s="29">
        <v>59</v>
      </c>
      <c r="EZ17" s="10">
        <f>EY17/$EU$12</f>
        <v>0.37579617834394907</v>
      </c>
    </row>
    <row r="18" spans="1:156" x14ac:dyDescent="0.2">
      <c r="A18" s="29" t="s">
        <v>5</v>
      </c>
      <c r="B18" s="29">
        <v>11</v>
      </c>
      <c r="C18" s="29" t="s">
        <v>40</v>
      </c>
      <c r="D18" s="66" t="s">
        <v>138</v>
      </c>
      <c r="E18" s="29"/>
      <c r="F18" s="13"/>
      <c r="G18" s="307"/>
      <c r="H18" s="29" t="s">
        <v>36</v>
      </c>
      <c r="O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29" t="s">
        <v>33</v>
      </c>
      <c r="BU18" s="29" t="s">
        <v>33</v>
      </c>
      <c r="BV18" s="29" t="s">
        <v>37</v>
      </c>
      <c r="BX18" s="29" t="s">
        <v>23</v>
      </c>
      <c r="BY18" s="29" t="s">
        <v>23</v>
      </c>
      <c r="BZ18" s="29" t="s">
        <v>23</v>
      </c>
      <c r="CA18" s="29" t="s">
        <v>23</v>
      </c>
      <c r="CB18" s="29" t="s">
        <v>23</v>
      </c>
      <c r="CC18" s="29" t="s">
        <v>23</v>
      </c>
      <c r="CD18" s="29" t="s">
        <v>23</v>
      </c>
      <c r="CE18" s="29" t="s">
        <v>23</v>
      </c>
      <c r="CF18" s="29">
        <v>0</v>
      </c>
      <c r="CG18" s="29">
        <v>0</v>
      </c>
      <c r="CH18" s="29">
        <v>2</v>
      </c>
      <c r="CI18" s="96">
        <v>0</v>
      </c>
      <c r="CJ18" s="10">
        <f t="shared" si="1"/>
        <v>0</v>
      </c>
      <c r="CK18" s="10">
        <f t="shared" si="2"/>
        <v>0</v>
      </c>
      <c r="CL18" s="10">
        <f t="shared" si="3"/>
        <v>3.2786885245901641E-2</v>
      </c>
      <c r="CM18" s="10">
        <f t="shared" si="4"/>
        <v>0</v>
      </c>
      <c r="CN18" s="29">
        <v>0</v>
      </c>
      <c r="CO18" s="29">
        <v>0</v>
      </c>
      <c r="CP18" s="29">
        <v>0</v>
      </c>
      <c r="CQ18" s="29">
        <v>0</v>
      </c>
      <c r="CR18" s="10">
        <v>0</v>
      </c>
      <c r="CS18" s="10">
        <v>0</v>
      </c>
      <c r="CT18" s="10">
        <v>0</v>
      </c>
      <c r="CU18" s="10">
        <v>0</v>
      </c>
      <c r="CV18" s="10">
        <v>0</v>
      </c>
      <c r="CW18" s="85" t="s">
        <v>23</v>
      </c>
      <c r="CX18" s="85" t="s">
        <v>23</v>
      </c>
      <c r="CY18" s="85" t="s">
        <v>23</v>
      </c>
      <c r="CZ18" s="85" t="s">
        <v>23</v>
      </c>
      <c r="DA18" s="85" t="s">
        <v>23</v>
      </c>
      <c r="DB18" s="85" t="s">
        <v>23</v>
      </c>
      <c r="DC18" s="85" t="s">
        <v>23</v>
      </c>
      <c r="DD18" s="85" t="s">
        <v>23</v>
      </c>
      <c r="DE18" s="85" t="s">
        <v>23</v>
      </c>
      <c r="DF18" s="29" t="s">
        <v>23</v>
      </c>
      <c r="DG18" s="29" t="s">
        <v>23</v>
      </c>
      <c r="DH18" s="29" t="s">
        <v>23</v>
      </c>
      <c r="DI18" s="29" t="s">
        <v>23</v>
      </c>
      <c r="DJ18" s="101" t="s">
        <v>23</v>
      </c>
      <c r="DK18" s="101" t="s">
        <v>23</v>
      </c>
      <c r="DL18" s="13" t="s">
        <v>23</v>
      </c>
      <c r="DM18" s="13" t="s">
        <v>23</v>
      </c>
      <c r="DN18" s="29" t="s">
        <v>23</v>
      </c>
      <c r="DO18" s="29" t="s">
        <v>23</v>
      </c>
      <c r="DP18" s="29" t="s">
        <v>23</v>
      </c>
      <c r="DQ18" s="29" t="s">
        <v>23</v>
      </c>
      <c r="DR18" s="29" t="s">
        <v>23</v>
      </c>
      <c r="DS18" s="29" t="s">
        <v>23</v>
      </c>
      <c r="DT18" s="29">
        <v>1800</v>
      </c>
      <c r="DU18" s="13" t="s">
        <v>23</v>
      </c>
      <c r="DV18" s="29" t="s">
        <v>23</v>
      </c>
      <c r="DW18" s="29" t="s">
        <v>23</v>
      </c>
      <c r="DX18" s="13" t="s">
        <v>23</v>
      </c>
      <c r="DY18" s="13" t="s">
        <v>23</v>
      </c>
      <c r="DZ18" s="29" t="s">
        <v>23</v>
      </c>
      <c r="EA18" s="13" t="s">
        <v>23</v>
      </c>
      <c r="EB18" s="13"/>
      <c r="EC18" s="13" t="s">
        <v>23</v>
      </c>
      <c r="ED18" s="13" t="s">
        <v>23</v>
      </c>
      <c r="EE18" s="13" t="s">
        <v>23</v>
      </c>
      <c r="EF18" s="13" t="s">
        <v>23</v>
      </c>
      <c r="EG18" s="13" t="s">
        <v>23</v>
      </c>
      <c r="EH18" s="13" t="s">
        <v>23</v>
      </c>
      <c r="EI18" s="13" t="s">
        <v>23</v>
      </c>
      <c r="EJ18" s="13" t="s">
        <v>23</v>
      </c>
      <c r="EL18" s="29" t="s">
        <v>23</v>
      </c>
      <c r="EM18" s="29" t="s">
        <v>23</v>
      </c>
      <c r="EN18" s="29" t="s">
        <v>23</v>
      </c>
      <c r="EO18" s="29" t="s">
        <v>23</v>
      </c>
      <c r="EP18" s="10" t="s">
        <v>23</v>
      </c>
      <c r="EQ18" s="29" t="s">
        <v>23</v>
      </c>
      <c r="ER18" s="29" t="s">
        <v>23</v>
      </c>
      <c r="ES18" s="29" t="s">
        <v>23</v>
      </c>
      <c r="ET18" t="s">
        <v>23</v>
      </c>
      <c r="EU18" t="s">
        <v>23</v>
      </c>
      <c r="EV18" s="29" t="s">
        <v>23</v>
      </c>
      <c r="EX18" s="29" t="s">
        <v>23</v>
      </c>
      <c r="EY18" s="29" t="s">
        <v>23</v>
      </c>
      <c r="EZ18" s="29" t="s">
        <v>23</v>
      </c>
    </row>
    <row r="19" spans="1:156" x14ac:dyDescent="0.2">
      <c r="A19" s="29" t="s">
        <v>31</v>
      </c>
      <c r="B19" s="29">
        <v>12</v>
      </c>
      <c r="C19" s="29" t="s">
        <v>31</v>
      </c>
      <c r="D19" s="66" t="s">
        <v>138</v>
      </c>
      <c r="E19" s="29" t="s">
        <v>134</v>
      </c>
      <c r="F19" s="13"/>
      <c r="G19" s="307"/>
      <c r="H19" s="29" t="s">
        <v>36</v>
      </c>
      <c r="O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29" t="s">
        <v>23</v>
      </c>
      <c r="BU19" s="29" t="s">
        <v>23</v>
      </c>
      <c r="BV19" s="29" t="s">
        <v>36</v>
      </c>
      <c r="BX19" s="29" t="s">
        <v>23</v>
      </c>
      <c r="BY19" s="29" t="s">
        <v>23</v>
      </c>
      <c r="BZ19" s="29" t="s">
        <v>23</v>
      </c>
      <c r="CA19" s="29" t="s">
        <v>23</v>
      </c>
      <c r="CB19" s="29" t="s">
        <v>23</v>
      </c>
      <c r="CC19" s="29" t="s">
        <v>23</v>
      </c>
      <c r="CD19" s="29" t="s">
        <v>23</v>
      </c>
      <c r="CE19" s="29" t="s">
        <v>23</v>
      </c>
      <c r="CF19" s="29">
        <v>0</v>
      </c>
      <c r="CG19" s="29">
        <v>0</v>
      </c>
      <c r="CH19" s="29">
        <v>0</v>
      </c>
      <c r="CI19" s="96">
        <v>0</v>
      </c>
      <c r="CJ19" s="10">
        <f t="shared" si="1"/>
        <v>0</v>
      </c>
      <c r="CK19" s="10">
        <f t="shared" si="2"/>
        <v>0</v>
      </c>
      <c r="CL19" s="10">
        <f t="shared" si="3"/>
        <v>0</v>
      </c>
      <c r="CM19" s="10">
        <f t="shared" si="4"/>
        <v>0</v>
      </c>
      <c r="CN19" s="29">
        <v>0</v>
      </c>
      <c r="CO19" s="29">
        <v>0</v>
      </c>
      <c r="CP19" s="29">
        <v>0</v>
      </c>
      <c r="CQ19" s="29">
        <v>0</v>
      </c>
      <c r="CR19" s="10">
        <v>0</v>
      </c>
      <c r="CS19" s="10">
        <v>0</v>
      </c>
      <c r="CT19" s="10">
        <v>0</v>
      </c>
      <c r="CU19" s="10">
        <v>0</v>
      </c>
      <c r="CV19" s="10">
        <v>0</v>
      </c>
      <c r="CW19" s="53">
        <v>2.5549969107635799E-3</v>
      </c>
      <c r="CX19" s="53">
        <v>1.8625486018241965E-3</v>
      </c>
      <c r="CY19" s="53">
        <v>7.2225889084993357E-4</v>
      </c>
      <c r="CZ19" s="53">
        <v>9.2658814636923357E-4</v>
      </c>
      <c r="DA19" s="53">
        <v>1.3702783563668594E-3</v>
      </c>
      <c r="DB19" s="53">
        <v>8.692096215348851E-4</v>
      </c>
      <c r="DC19" s="53">
        <v>2.3316422998189393E-3</v>
      </c>
      <c r="DD19" s="53">
        <v>1.4543883791594467E-3</v>
      </c>
      <c r="DE19" s="53">
        <v>3.0000000000000001E-3</v>
      </c>
      <c r="DF19" s="29">
        <v>31647</v>
      </c>
      <c r="DG19" s="29">
        <v>33462</v>
      </c>
      <c r="DH19" s="29">
        <v>7000</v>
      </c>
      <c r="DI19" s="29" t="s">
        <v>23</v>
      </c>
      <c r="DJ19" s="53">
        <f>DF19/7924298</f>
        <v>3.9936660635427898E-3</v>
      </c>
      <c r="DK19" s="53">
        <f>DG19/8087569</f>
        <v>4.137460836501055E-3</v>
      </c>
      <c r="DL19" s="91">
        <v>1</v>
      </c>
      <c r="DM19" s="91">
        <v>1</v>
      </c>
      <c r="DN19" s="29" t="s">
        <v>23</v>
      </c>
      <c r="DO19" s="29" t="s">
        <v>23</v>
      </c>
      <c r="DP19" s="29">
        <v>1750</v>
      </c>
      <c r="DQ19" s="29">
        <v>2500</v>
      </c>
      <c r="DR19" s="29">
        <v>4250</v>
      </c>
      <c r="DS19" s="29">
        <v>3350</v>
      </c>
      <c r="DT19" s="29" t="s">
        <v>23</v>
      </c>
      <c r="DU19" s="29" t="s">
        <v>23</v>
      </c>
      <c r="DV19" s="29" t="s">
        <v>23</v>
      </c>
      <c r="DW19" s="29" t="s">
        <v>23</v>
      </c>
      <c r="DX19" s="13" t="s">
        <v>23</v>
      </c>
      <c r="DY19" s="13" t="s">
        <v>23</v>
      </c>
      <c r="DZ19" s="13" t="s">
        <v>23</v>
      </c>
      <c r="EA19" s="13" t="s">
        <v>23</v>
      </c>
      <c r="EB19" s="13"/>
      <c r="EC19" s="13" t="s">
        <v>23</v>
      </c>
      <c r="ED19" s="13" t="s">
        <v>23</v>
      </c>
      <c r="EE19" s="13" t="s">
        <v>23</v>
      </c>
      <c r="EF19" s="13" t="s">
        <v>23</v>
      </c>
      <c r="EG19" s="13" t="s">
        <v>23</v>
      </c>
      <c r="EH19" s="13" t="s">
        <v>23</v>
      </c>
      <c r="EI19" s="13" t="s">
        <v>23</v>
      </c>
      <c r="EJ19" s="13" t="s">
        <v>23</v>
      </c>
      <c r="EL19" s="29">
        <v>2439</v>
      </c>
      <c r="EM19" s="29">
        <v>124</v>
      </c>
      <c r="EN19" s="29">
        <v>2439</v>
      </c>
      <c r="EO19" s="29">
        <v>124</v>
      </c>
      <c r="EP19" s="10">
        <v>0.5</v>
      </c>
      <c r="EQ19" s="29" t="s">
        <v>23</v>
      </c>
      <c r="ER19" s="29" t="s">
        <v>23</v>
      </c>
      <c r="ES19" s="29">
        <v>20</v>
      </c>
      <c r="ET19" t="s">
        <v>23</v>
      </c>
      <c r="EU19" t="s">
        <v>23</v>
      </c>
      <c r="EV19" s="29" t="s">
        <v>23</v>
      </c>
      <c r="EX19" s="29" t="s">
        <v>23</v>
      </c>
      <c r="EY19" s="29" t="s">
        <v>23</v>
      </c>
      <c r="EZ19" s="439">
        <v>0.5</v>
      </c>
    </row>
    <row r="21" spans="1:156" x14ac:dyDescent="0.2">
      <c r="A21" s="284" t="s">
        <v>162</v>
      </c>
      <c r="B21" s="285"/>
      <c r="C21" s="286"/>
    </row>
    <row r="22" spans="1:156" x14ac:dyDescent="0.2">
      <c r="A22" s="287" t="s">
        <v>1</v>
      </c>
      <c r="B22" s="141"/>
      <c r="C22" s="288" t="s">
        <v>165</v>
      </c>
    </row>
    <row r="23" spans="1:156" x14ac:dyDescent="0.2">
      <c r="A23" s="289" t="s">
        <v>23</v>
      </c>
      <c r="B23" s="3"/>
      <c r="C23" s="290" t="s">
        <v>163</v>
      </c>
    </row>
    <row r="24" spans="1:156" x14ac:dyDescent="0.2">
      <c r="A24" s="289" t="s">
        <v>33</v>
      </c>
      <c r="B24" s="3"/>
      <c r="C24" s="290" t="s">
        <v>164</v>
      </c>
    </row>
    <row r="25" spans="1:156" x14ac:dyDescent="0.2">
      <c r="A25" s="291" t="s">
        <v>166</v>
      </c>
      <c r="B25" s="4"/>
      <c r="C25" s="292" t="s">
        <v>167</v>
      </c>
    </row>
  </sheetData>
  <sheetProtection algorithmName="SHA-512" hashValue="RF+KzsrJVMG5D2l+u08SXSIhAb//d93bCQwbdIuD4LMvXKL9UxuJUez8HUGIh0fgmvGEn6Xj+lBbsTv9edIbPA==" saltValue="NQk+m4iRbZttcce7zjE15w==" spinCount="100000" sheet="1" objects="1" scenarios="1"/>
  <autoFilter ref="A7:EZ7"/>
  <mergeCells count="23">
    <mergeCell ref="CW1:DO1"/>
    <mergeCell ref="DP1:EB1"/>
    <mergeCell ref="EC1:EZ1"/>
    <mergeCell ref="EC5:EK5"/>
    <mergeCell ref="A1:D1"/>
    <mergeCell ref="E1:G1"/>
    <mergeCell ref="CY5:CZ5"/>
    <mergeCell ref="DA5:DB5"/>
    <mergeCell ref="DC5:DD5"/>
    <mergeCell ref="H1:BS1"/>
    <mergeCell ref="CJ5:CM5"/>
    <mergeCell ref="CB5:CE5"/>
    <mergeCell ref="ET5:EW5"/>
    <mergeCell ref="DF5:DG5"/>
    <mergeCell ref="CR5:CV5"/>
    <mergeCell ref="BT1:CV1"/>
    <mergeCell ref="CW5:CX5"/>
    <mergeCell ref="EL5:ER5"/>
    <mergeCell ref="EX5:EZ5"/>
    <mergeCell ref="DJ5:DK5"/>
    <mergeCell ref="DN5:DO5"/>
    <mergeCell ref="DH5:DI5"/>
    <mergeCell ref="DL5:DM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2592FF"/>
  </sheetPr>
  <dimension ref="A1:P36"/>
  <sheetViews>
    <sheetView workbookViewId="0">
      <selection activeCell="A5" sqref="A5"/>
    </sheetView>
  </sheetViews>
  <sheetFormatPr defaultColWidth="8.85546875" defaultRowHeight="15" x14ac:dyDescent="0.25"/>
  <cols>
    <col min="1" max="1" width="10.7109375" style="2" customWidth="1"/>
    <col min="2" max="2" width="33" style="2" bestFit="1" customWidth="1"/>
    <col min="3" max="3" width="10.85546875" style="2" customWidth="1"/>
    <col min="4" max="4" width="6.7109375" style="2" customWidth="1"/>
    <col min="5" max="5" width="19.140625" style="2" customWidth="1"/>
    <col min="6" max="6" width="14.42578125" style="2" customWidth="1"/>
    <col min="7" max="10" width="10.140625" style="2" customWidth="1"/>
    <col min="11" max="11" width="2" style="2" customWidth="1"/>
    <col min="12" max="12" width="30" style="2" bestFit="1" customWidth="1"/>
    <col min="13" max="13" width="29.7109375" style="2" bestFit="1" customWidth="1"/>
    <col min="14" max="14" width="8.85546875" style="2"/>
    <col min="15" max="15" width="10.7109375" style="2" customWidth="1"/>
    <col min="16" max="16" width="11.85546875" style="2" customWidth="1"/>
    <col min="17" max="16384" width="8.85546875" style="2"/>
  </cols>
  <sheetData>
    <row r="1" spans="1:16" ht="14.45" customHeight="1" x14ac:dyDescent="0.25">
      <c r="A1" s="612" t="s">
        <v>12</v>
      </c>
      <c r="B1" s="612"/>
      <c r="C1" s="612"/>
      <c r="D1" s="612"/>
      <c r="E1" s="612"/>
      <c r="F1" s="612"/>
      <c r="G1" s="612"/>
      <c r="H1" s="433"/>
      <c r="I1" s="433"/>
      <c r="J1" s="433"/>
      <c r="L1" s="613" t="s">
        <v>294</v>
      </c>
      <c r="M1" s="613"/>
      <c r="N1" s="613"/>
    </row>
    <row r="2" spans="1:16" x14ac:dyDescent="0.25">
      <c r="A2" s="32" t="s">
        <v>7</v>
      </c>
      <c r="B2" s="32" t="s">
        <v>13</v>
      </c>
      <c r="C2" s="119" t="s">
        <v>247</v>
      </c>
      <c r="D2" s="102" t="s">
        <v>228</v>
      </c>
      <c r="E2" s="89" t="s">
        <v>3</v>
      </c>
      <c r="F2" s="6" t="s">
        <v>4</v>
      </c>
      <c r="G2" s="6" t="s">
        <v>56</v>
      </c>
      <c r="H2" s="454" t="s">
        <v>629</v>
      </c>
      <c r="I2" s="454" t="s">
        <v>631</v>
      </c>
      <c r="J2" s="434" t="s">
        <v>293</v>
      </c>
      <c r="L2" s="71" t="s">
        <v>285</v>
      </c>
      <c r="M2" s="71" t="s">
        <v>292</v>
      </c>
      <c r="N2" s="71" t="s">
        <v>293</v>
      </c>
      <c r="O2" s="218"/>
      <c r="P2" s="218"/>
    </row>
    <row r="3" spans="1:16" x14ac:dyDescent="0.25">
      <c r="A3" s="2" t="s">
        <v>6</v>
      </c>
      <c r="B3" s="92" t="s">
        <v>234</v>
      </c>
      <c r="C3" s="117" t="s">
        <v>246</v>
      </c>
      <c r="D3" s="104" t="s">
        <v>57</v>
      </c>
      <c r="E3" s="107">
        <f>0.97-(0.00132*$M$6)</f>
        <v>0.90399999999999991</v>
      </c>
      <c r="F3" s="8">
        <v>37987</v>
      </c>
      <c r="G3" s="15">
        <v>10013</v>
      </c>
      <c r="H3" s="15">
        <v>2618</v>
      </c>
      <c r="I3" s="15">
        <v>0</v>
      </c>
      <c r="J3" s="15">
        <v>10018</v>
      </c>
      <c r="L3" s="118" t="s">
        <v>286</v>
      </c>
      <c r="M3" s="2">
        <v>40</v>
      </c>
      <c r="N3" s="2">
        <v>10013</v>
      </c>
    </row>
    <row r="4" spans="1:16" x14ac:dyDescent="0.25">
      <c r="A4" s="2" t="s">
        <v>6</v>
      </c>
      <c r="B4" s="117" t="s">
        <v>234</v>
      </c>
      <c r="C4" s="33" t="s">
        <v>244</v>
      </c>
      <c r="D4" s="104" t="s">
        <v>57</v>
      </c>
      <c r="E4" s="107">
        <f>0.96-(0.0003*$M$6)</f>
        <v>0.94499999999999995</v>
      </c>
      <c r="F4" s="8">
        <v>42110</v>
      </c>
      <c r="G4" s="15">
        <v>10013</v>
      </c>
      <c r="H4" s="15">
        <v>2445</v>
      </c>
      <c r="I4" s="15">
        <v>0</v>
      </c>
      <c r="J4" s="15">
        <v>10018</v>
      </c>
      <c r="L4" s="118" t="s">
        <v>287</v>
      </c>
      <c r="M4" s="2">
        <v>56</v>
      </c>
      <c r="N4" s="2">
        <v>10013</v>
      </c>
    </row>
    <row r="5" spans="1:16" x14ac:dyDescent="0.25">
      <c r="A5" s="2" t="s">
        <v>6</v>
      </c>
      <c r="B5" s="117" t="s">
        <v>234</v>
      </c>
      <c r="C5" s="33" t="s">
        <v>245</v>
      </c>
      <c r="D5" s="104" t="s">
        <v>57</v>
      </c>
      <c r="E5" s="107">
        <f>2.057-(0.00113*$M$7)</f>
        <v>1.9937199999999999</v>
      </c>
      <c r="F5" s="8">
        <v>42110</v>
      </c>
      <c r="G5" s="15">
        <v>10013</v>
      </c>
      <c r="H5" s="15"/>
      <c r="I5" s="15"/>
      <c r="J5" s="15"/>
      <c r="L5" s="118" t="s">
        <v>288</v>
      </c>
      <c r="M5" s="2">
        <v>0</v>
      </c>
      <c r="N5" s="2">
        <v>10013</v>
      </c>
    </row>
    <row r="6" spans="1:16" x14ac:dyDescent="0.25">
      <c r="A6" s="2" t="s">
        <v>6</v>
      </c>
      <c r="B6" s="92" t="s">
        <v>233</v>
      </c>
      <c r="C6" s="92"/>
      <c r="D6" s="104" t="s">
        <v>57</v>
      </c>
      <c r="E6" s="108">
        <f>0.93-(0.00132*$M$8)</f>
        <v>0.93</v>
      </c>
      <c r="F6" s="8">
        <v>37987</v>
      </c>
      <c r="G6" s="2">
        <v>10013</v>
      </c>
      <c r="J6" s="15"/>
      <c r="L6" s="118" t="s">
        <v>289</v>
      </c>
      <c r="M6" s="2">
        <v>50</v>
      </c>
      <c r="N6" s="2">
        <v>10013</v>
      </c>
    </row>
    <row r="7" spans="1:16" x14ac:dyDescent="0.25">
      <c r="A7" s="2" t="s">
        <v>6</v>
      </c>
      <c r="B7" s="92" t="s">
        <v>233</v>
      </c>
      <c r="C7" s="92"/>
      <c r="D7" s="104" t="s">
        <v>57</v>
      </c>
      <c r="E7" s="108">
        <f>0.93-(0.00132*$M$8)</f>
        <v>0.93</v>
      </c>
      <c r="F7" s="8">
        <v>42110</v>
      </c>
      <c r="G7" s="2">
        <v>10013</v>
      </c>
      <c r="J7" s="15"/>
      <c r="L7" s="118" t="s">
        <v>290</v>
      </c>
      <c r="M7" s="2">
        <v>56</v>
      </c>
      <c r="N7" s="2">
        <v>10013</v>
      </c>
    </row>
    <row r="8" spans="1:16" x14ac:dyDescent="0.25">
      <c r="A8" s="2" t="s">
        <v>6</v>
      </c>
      <c r="B8" s="93" t="s">
        <v>223</v>
      </c>
      <c r="C8" s="118" t="s">
        <v>246</v>
      </c>
      <c r="D8" s="104" t="s">
        <v>57</v>
      </c>
      <c r="E8" s="107">
        <v>2</v>
      </c>
      <c r="F8" s="8">
        <v>39818</v>
      </c>
      <c r="G8" s="2">
        <v>10014</v>
      </c>
      <c r="H8" s="2">
        <v>1404</v>
      </c>
      <c r="I8" s="2">
        <v>0</v>
      </c>
      <c r="J8" s="15"/>
      <c r="L8" s="118" t="s">
        <v>291</v>
      </c>
      <c r="M8" s="2">
        <v>0</v>
      </c>
      <c r="N8" s="2">
        <v>10013</v>
      </c>
    </row>
    <row r="9" spans="1:16" x14ac:dyDescent="0.25">
      <c r="A9" s="2" t="s">
        <v>6</v>
      </c>
      <c r="B9" s="93" t="s">
        <v>223</v>
      </c>
      <c r="C9" s="118" t="s">
        <v>246</v>
      </c>
      <c r="D9" s="104" t="s">
        <v>57</v>
      </c>
      <c r="E9" s="109">
        <v>2</v>
      </c>
      <c r="F9" s="35">
        <v>41456</v>
      </c>
      <c r="G9" s="29">
        <v>10015</v>
      </c>
      <c r="H9" s="29">
        <v>1404</v>
      </c>
      <c r="I9" s="29">
        <v>0</v>
      </c>
      <c r="J9" s="15"/>
      <c r="K9" s="29"/>
      <c r="L9" s="94"/>
    </row>
    <row r="10" spans="1:16" x14ac:dyDescent="0.25">
      <c r="A10" s="2" t="s">
        <v>6</v>
      </c>
      <c r="B10" s="118" t="s">
        <v>223</v>
      </c>
      <c r="C10" s="34" t="s">
        <v>244</v>
      </c>
      <c r="D10" s="104" t="s">
        <v>57</v>
      </c>
      <c r="E10" s="109">
        <v>2</v>
      </c>
      <c r="F10" s="35">
        <v>42110</v>
      </c>
      <c r="G10" s="15">
        <v>10016</v>
      </c>
      <c r="H10" s="15">
        <v>1404</v>
      </c>
      <c r="I10" s="15">
        <v>0</v>
      </c>
      <c r="J10" s="15"/>
      <c r="K10" s="29"/>
      <c r="L10" s="94"/>
    </row>
    <row r="11" spans="1:16" x14ac:dyDescent="0.25">
      <c r="A11" s="115" t="s">
        <v>6</v>
      </c>
      <c r="B11" s="115" t="s">
        <v>223</v>
      </c>
      <c r="C11" s="34" t="s">
        <v>245</v>
      </c>
      <c r="D11" s="116" t="s">
        <v>57</v>
      </c>
      <c r="E11" s="109">
        <v>2.2000000000000002</v>
      </c>
      <c r="F11" s="35">
        <v>42110</v>
      </c>
      <c r="G11" s="15">
        <v>10016</v>
      </c>
      <c r="H11" s="15"/>
      <c r="I11" s="15"/>
      <c r="J11" s="15"/>
      <c r="K11" s="29"/>
      <c r="L11" s="94"/>
    </row>
    <row r="12" spans="1:16" x14ac:dyDescent="0.25">
      <c r="A12" s="2" t="s">
        <v>5</v>
      </c>
      <c r="B12" s="92" t="s">
        <v>234</v>
      </c>
      <c r="C12" s="117" t="s">
        <v>246</v>
      </c>
      <c r="D12" s="104" t="s">
        <v>57</v>
      </c>
      <c r="E12" s="107">
        <f>0.67-(0.0019*$M$3)</f>
        <v>0.59400000000000008</v>
      </c>
      <c r="F12" s="8">
        <v>37987</v>
      </c>
      <c r="G12" s="2">
        <v>10013</v>
      </c>
      <c r="H12" s="2">
        <v>0</v>
      </c>
      <c r="I12" s="2">
        <v>166</v>
      </c>
      <c r="J12" s="15">
        <v>10018</v>
      </c>
      <c r="L12" s="94"/>
    </row>
    <row r="13" spans="1:16" x14ac:dyDescent="0.25">
      <c r="A13" s="2" t="s">
        <v>5</v>
      </c>
      <c r="B13" s="117" t="s">
        <v>234</v>
      </c>
      <c r="C13" s="33" t="s">
        <v>244</v>
      </c>
      <c r="D13" s="104" t="s">
        <v>57</v>
      </c>
      <c r="E13" s="107">
        <f>0.675-(0.0015*$M$3)</f>
        <v>0.61499999999999999</v>
      </c>
      <c r="F13" s="8">
        <v>42110</v>
      </c>
      <c r="G13" s="2">
        <v>10013</v>
      </c>
      <c r="H13" s="2">
        <v>0</v>
      </c>
      <c r="I13" s="2">
        <v>157</v>
      </c>
      <c r="J13" s="15">
        <v>10018</v>
      </c>
      <c r="L13" s="94"/>
    </row>
    <row r="14" spans="1:16" x14ac:dyDescent="0.25">
      <c r="A14" s="2" t="s">
        <v>5</v>
      </c>
      <c r="B14" s="117" t="s">
        <v>234</v>
      </c>
      <c r="C14" s="33" t="s">
        <v>245</v>
      </c>
      <c r="D14" s="104" t="s">
        <v>57</v>
      </c>
      <c r="E14" s="107">
        <f>0.8012-(0.00078*$M$4)</f>
        <v>0.75751999999999997</v>
      </c>
      <c r="F14" s="8">
        <v>42110</v>
      </c>
      <c r="G14" s="2">
        <v>10013</v>
      </c>
      <c r="J14" s="15"/>
      <c r="L14" s="94"/>
    </row>
    <row r="15" spans="1:16" x14ac:dyDescent="0.25">
      <c r="A15" s="2" t="s">
        <v>5</v>
      </c>
      <c r="B15" s="92" t="s">
        <v>233</v>
      </c>
      <c r="C15" s="92"/>
      <c r="D15" s="104" t="s">
        <v>57</v>
      </c>
      <c r="E15" s="110">
        <f>0.62-(0.0019*$M$5)</f>
        <v>0.62</v>
      </c>
      <c r="F15" s="8">
        <v>37987</v>
      </c>
      <c r="G15" s="2">
        <v>10013</v>
      </c>
      <c r="H15" s="2">
        <v>0</v>
      </c>
      <c r="I15" s="2">
        <v>168</v>
      </c>
      <c r="J15" s="15">
        <v>10018</v>
      </c>
      <c r="L15" s="94"/>
    </row>
    <row r="16" spans="1:16" x14ac:dyDescent="0.25">
      <c r="A16" s="2" t="s">
        <v>5</v>
      </c>
      <c r="B16" s="92" t="s">
        <v>233</v>
      </c>
      <c r="C16" s="92"/>
      <c r="D16" s="104" t="s">
        <v>57</v>
      </c>
      <c r="E16" s="110">
        <f>0.82-(0.0019*$M$5)</f>
        <v>0.82</v>
      </c>
      <c r="F16" s="8">
        <v>42110</v>
      </c>
      <c r="G16" s="2">
        <v>10013</v>
      </c>
      <c r="H16" s="2">
        <v>29</v>
      </c>
      <c r="I16" s="2">
        <v>110</v>
      </c>
      <c r="J16" s="15">
        <v>10018</v>
      </c>
      <c r="L16" s="94"/>
    </row>
    <row r="17" spans="1:12" x14ac:dyDescent="0.25">
      <c r="A17" s="2" t="s">
        <v>5</v>
      </c>
      <c r="B17" s="54" t="s">
        <v>223</v>
      </c>
      <c r="C17" s="118" t="s">
        <v>246</v>
      </c>
      <c r="D17" s="104" t="s">
        <v>57</v>
      </c>
      <c r="E17" s="107">
        <v>0.62</v>
      </c>
      <c r="F17" s="8">
        <v>39448</v>
      </c>
      <c r="G17" s="15">
        <v>10014</v>
      </c>
      <c r="H17" s="15">
        <v>0</v>
      </c>
      <c r="I17" s="15">
        <v>157</v>
      </c>
      <c r="J17" s="15">
        <v>10018</v>
      </c>
      <c r="L17" s="15"/>
    </row>
    <row r="18" spans="1:12" x14ac:dyDescent="0.25">
      <c r="A18" s="2" t="s">
        <v>5</v>
      </c>
      <c r="B18" s="54" t="s">
        <v>223</v>
      </c>
      <c r="C18" s="118" t="s">
        <v>246</v>
      </c>
      <c r="D18" s="104" t="s">
        <v>57</v>
      </c>
      <c r="E18" s="107">
        <v>0.67</v>
      </c>
      <c r="F18" s="8">
        <v>40422</v>
      </c>
      <c r="G18" s="15">
        <v>10014</v>
      </c>
      <c r="H18" s="15">
        <v>66</v>
      </c>
      <c r="I18" s="15">
        <v>135</v>
      </c>
      <c r="J18" s="15">
        <v>10018</v>
      </c>
      <c r="K18"/>
      <c r="L18" s="13"/>
    </row>
    <row r="19" spans="1:12" x14ac:dyDescent="0.25">
      <c r="A19" s="2" t="s">
        <v>5</v>
      </c>
      <c r="B19" s="54" t="s">
        <v>223</v>
      </c>
      <c r="C19" s="118" t="s">
        <v>246</v>
      </c>
      <c r="D19" s="104" t="s">
        <v>57</v>
      </c>
      <c r="E19" s="109">
        <v>0.67</v>
      </c>
      <c r="F19" s="35">
        <v>41456</v>
      </c>
      <c r="G19" s="29">
        <v>10015</v>
      </c>
      <c r="H19" s="29">
        <v>66</v>
      </c>
      <c r="I19" s="29">
        <v>135</v>
      </c>
      <c r="J19" s="15">
        <v>10018</v>
      </c>
      <c r="K19" s="29"/>
      <c r="L19" s="94"/>
    </row>
    <row r="20" spans="1:12" x14ac:dyDescent="0.25">
      <c r="A20" s="2" t="s">
        <v>5</v>
      </c>
      <c r="B20" s="118" t="s">
        <v>223</v>
      </c>
      <c r="C20" s="34" t="s">
        <v>244</v>
      </c>
      <c r="D20" s="104" t="s">
        <v>57</v>
      </c>
      <c r="E20" s="109">
        <v>0.67</v>
      </c>
      <c r="F20" s="35">
        <v>42110</v>
      </c>
      <c r="G20" s="15">
        <v>10016</v>
      </c>
      <c r="H20" s="29">
        <v>66</v>
      </c>
      <c r="I20" s="29">
        <v>135</v>
      </c>
      <c r="J20" s="15">
        <v>10018</v>
      </c>
      <c r="K20" s="29"/>
      <c r="L20" s="94"/>
    </row>
    <row r="21" spans="1:12" x14ac:dyDescent="0.25">
      <c r="A21" s="115" t="s">
        <v>5</v>
      </c>
      <c r="B21" s="115" t="s">
        <v>223</v>
      </c>
      <c r="C21" s="34" t="s">
        <v>245</v>
      </c>
      <c r="D21" s="116" t="s">
        <v>57</v>
      </c>
      <c r="E21" s="109">
        <v>0.77</v>
      </c>
      <c r="F21" s="35">
        <v>42110</v>
      </c>
      <c r="G21" s="15">
        <v>10016</v>
      </c>
      <c r="H21" s="15"/>
      <c r="I21" s="15"/>
      <c r="J21" s="15"/>
      <c r="K21" s="29"/>
      <c r="L21" s="94"/>
    </row>
    <row r="22" spans="1:12" x14ac:dyDescent="0.25">
      <c r="A22" s="2" t="s">
        <v>5</v>
      </c>
      <c r="B22" s="94" t="s">
        <v>224</v>
      </c>
      <c r="C22" s="118" t="s">
        <v>246</v>
      </c>
      <c r="D22" s="104" t="s">
        <v>57</v>
      </c>
      <c r="E22" s="109">
        <v>0.8</v>
      </c>
      <c r="F22" s="35">
        <v>39818</v>
      </c>
      <c r="G22" s="29">
        <v>10014</v>
      </c>
      <c r="H22" s="29"/>
      <c r="I22" s="29"/>
      <c r="J22" s="15"/>
      <c r="K22" s="29"/>
      <c r="L22" s="95"/>
    </row>
    <row r="23" spans="1:12" x14ac:dyDescent="0.25">
      <c r="A23" s="2" t="s">
        <v>5</v>
      </c>
      <c r="B23" s="93" t="s">
        <v>41</v>
      </c>
      <c r="C23" s="118" t="s">
        <v>246</v>
      </c>
      <c r="D23" s="104" t="s">
        <v>57</v>
      </c>
      <c r="E23" s="107">
        <v>0.62</v>
      </c>
      <c r="F23" s="8">
        <v>39448</v>
      </c>
      <c r="G23" s="15">
        <v>10017</v>
      </c>
      <c r="H23" s="15">
        <v>0</v>
      </c>
      <c r="I23" s="15">
        <v>157</v>
      </c>
      <c r="J23" s="15">
        <v>10018</v>
      </c>
      <c r="K23"/>
      <c r="L23" s="13"/>
    </row>
    <row r="24" spans="1:12" x14ac:dyDescent="0.25">
      <c r="A24" s="2" t="s">
        <v>5</v>
      </c>
      <c r="B24" s="54" t="s">
        <v>42</v>
      </c>
      <c r="C24" s="118" t="s">
        <v>246</v>
      </c>
      <c r="D24" s="104" t="s">
        <v>57</v>
      </c>
      <c r="E24" s="107">
        <v>0.67</v>
      </c>
      <c r="F24" s="8">
        <v>39448</v>
      </c>
      <c r="G24">
        <v>10017</v>
      </c>
      <c r="H24" s="15">
        <v>66</v>
      </c>
      <c r="I24" s="15">
        <v>135</v>
      </c>
      <c r="J24" s="15">
        <v>10018</v>
      </c>
      <c r="K24"/>
      <c r="L24" s="13"/>
    </row>
    <row r="25" spans="1:12" x14ac:dyDescent="0.25">
      <c r="A25" s="2" t="s">
        <v>5</v>
      </c>
      <c r="B25" s="57" t="s">
        <v>43</v>
      </c>
      <c r="C25" s="114" t="s">
        <v>246</v>
      </c>
      <c r="D25" s="104" t="s">
        <v>57</v>
      </c>
      <c r="E25" s="107">
        <v>0.8</v>
      </c>
      <c r="F25" s="8">
        <v>39448</v>
      </c>
      <c r="G25" s="15">
        <v>10017</v>
      </c>
      <c r="H25" s="15">
        <v>59</v>
      </c>
      <c r="I25" s="15">
        <v>113</v>
      </c>
      <c r="J25" s="15"/>
      <c r="K25"/>
      <c r="L25" s="13"/>
    </row>
    <row r="26" spans="1:12" x14ac:dyDescent="0.25">
      <c r="A26" s="56" t="s">
        <v>5</v>
      </c>
      <c r="B26" s="55" t="s">
        <v>44</v>
      </c>
      <c r="C26" s="114" t="s">
        <v>246</v>
      </c>
      <c r="D26" s="104" t="s">
        <v>57</v>
      </c>
      <c r="E26" s="109">
        <v>0.82</v>
      </c>
      <c r="F26" s="8">
        <v>39448</v>
      </c>
      <c r="G26" s="29">
        <v>10017</v>
      </c>
      <c r="H26" s="29">
        <v>29</v>
      </c>
      <c r="I26" s="29">
        <v>110</v>
      </c>
      <c r="J26" s="15">
        <v>10018</v>
      </c>
      <c r="K26" s="29"/>
      <c r="L26" s="13"/>
    </row>
    <row r="27" spans="1:12" x14ac:dyDescent="0.25">
      <c r="A27" s="56" t="s">
        <v>5</v>
      </c>
      <c r="B27" s="55" t="s">
        <v>225</v>
      </c>
      <c r="C27" s="8"/>
      <c r="D27" s="104" t="s">
        <v>57</v>
      </c>
      <c r="E27" s="109">
        <v>0.82</v>
      </c>
      <c r="F27" s="35">
        <v>39818</v>
      </c>
      <c r="G27">
        <v>10014</v>
      </c>
      <c r="H27" s="29">
        <v>29</v>
      </c>
      <c r="I27" s="29">
        <v>110</v>
      </c>
      <c r="J27" s="15">
        <v>10018</v>
      </c>
      <c r="K27"/>
      <c r="L27" s="94"/>
    </row>
    <row r="28" spans="1:12" x14ac:dyDescent="0.25">
      <c r="A28" s="56" t="s">
        <v>5</v>
      </c>
      <c r="B28" s="55" t="s">
        <v>225</v>
      </c>
      <c r="C28" s="8"/>
      <c r="D28" s="104" t="s">
        <v>57</v>
      </c>
      <c r="E28" s="109">
        <v>0.82</v>
      </c>
      <c r="F28" s="35">
        <v>41456</v>
      </c>
      <c r="G28" s="29">
        <v>10015</v>
      </c>
      <c r="H28" s="29">
        <v>29</v>
      </c>
      <c r="I28" s="29">
        <v>110</v>
      </c>
      <c r="J28" s="15">
        <v>10018</v>
      </c>
      <c r="K28" s="29"/>
      <c r="L28" s="94"/>
    </row>
    <row r="29" spans="1:12" x14ac:dyDescent="0.25">
      <c r="A29" s="56" t="s">
        <v>5</v>
      </c>
      <c r="B29" s="55" t="s">
        <v>225</v>
      </c>
      <c r="C29" s="8"/>
      <c r="D29" s="104" t="s">
        <v>57</v>
      </c>
      <c r="E29" s="109">
        <v>0.9</v>
      </c>
      <c r="F29" s="35">
        <v>42110</v>
      </c>
      <c r="G29" s="29">
        <v>10016</v>
      </c>
      <c r="H29" s="29">
        <v>29</v>
      </c>
      <c r="I29" s="29">
        <v>98</v>
      </c>
      <c r="J29" s="15">
        <v>10018</v>
      </c>
      <c r="K29" s="29"/>
      <c r="L29" s="94"/>
    </row>
    <row r="30" spans="1:12" x14ac:dyDescent="0.25">
      <c r="A30" s="95" t="s">
        <v>5</v>
      </c>
      <c r="B30" s="432" t="s">
        <v>227</v>
      </c>
      <c r="C30" s="118" t="s">
        <v>246</v>
      </c>
      <c r="D30" s="103" t="s">
        <v>151</v>
      </c>
      <c r="E30" s="109">
        <v>0.9</v>
      </c>
      <c r="F30" s="35">
        <v>41456</v>
      </c>
      <c r="G30" s="2">
        <v>10015</v>
      </c>
      <c r="J30" s="15"/>
      <c r="L30" s="94"/>
    </row>
    <row r="31" spans="1:12" x14ac:dyDescent="0.25">
      <c r="A31" s="95" t="s">
        <v>5</v>
      </c>
      <c r="B31" s="95" t="s">
        <v>227</v>
      </c>
      <c r="C31" s="118" t="s">
        <v>246</v>
      </c>
      <c r="D31" s="103" t="s">
        <v>151</v>
      </c>
      <c r="E31" s="109">
        <v>0.9</v>
      </c>
      <c r="F31" s="35">
        <v>42110</v>
      </c>
      <c r="G31" s="2">
        <v>10016</v>
      </c>
      <c r="J31" s="15"/>
      <c r="L31" s="94"/>
    </row>
    <row r="32" spans="1:12" x14ac:dyDescent="0.25">
      <c r="A32" s="94" t="s">
        <v>31</v>
      </c>
      <c r="B32" s="94" t="s">
        <v>226</v>
      </c>
      <c r="C32" s="114" t="s">
        <v>246</v>
      </c>
      <c r="D32" s="105" t="s">
        <v>229</v>
      </c>
      <c r="E32" s="109">
        <v>0.5</v>
      </c>
      <c r="F32" s="35">
        <v>39818</v>
      </c>
      <c r="G32" s="2">
        <v>10014</v>
      </c>
      <c r="J32" s="15"/>
      <c r="L32" s="94"/>
    </row>
    <row r="33" spans="1:12" x14ac:dyDescent="0.25">
      <c r="A33" s="94" t="s">
        <v>31</v>
      </c>
      <c r="B33" s="106" t="s">
        <v>230</v>
      </c>
      <c r="C33" s="114" t="s">
        <v>246</v>
      </c>
      <c r="D33" s="114" t="s">
        <v>243</v>
      </c>
      <c r="E33" s="109">
        <v>1.8</v>
      </c>
      <c r="F33" s="35">
        <v>41456</v>
      </c>
      <c r="G33" s="2">
        <v>10015</v>
      </c>
      <c r="H33" s="436"/>
      <c r="I33" s="436"/>
      <c r="J33" s="435"/>
      <c r="L33" s="94"/>
    </row>
    <row r="34" spans="1:12" x14ac:dyDescent="0.25">
      <c r="A34" s="94" t="s">
        <v>31</v>
      </c>
      <c r="B34" s="106" t="s">
        <v>231</v>
      </c>
      <c r="C34" s="114" t="s">
        <v>246</v>
      </c>
      <c r="D34" s="114" t="s">
        <v>243</v>
      </c>
      <c r="E34" s="109">
        <v>1.2</v>
      </c>
      <c r="F34" s="35">
        <v>41456</v>
      </c>
      <c r="G34" s="2">
        <v>10015</v>
      </c>
      <c r="H34" s="436"/>
      <c r="I34" s="436"/>
      <c r="J34" s="435"/>
      <c r="L34" s="94"/>
    </row>
    <row r="35" spans="1:12" x14ac:dyDescent="0.25">
      <c r="A35" s="94" t="s">
        <v>31</v>
      </c>
      <c r="B35" s="106" t="s">
        <v>230</v>
      </c>
      <c r="C35" s="114" t="s">
        <v>246</v>
      </c>
      <c r="D35" s="114" t="s">
        <v>243</v>
      </c>
      <c r="E35" s="109">
        <v>1.8</v>
      </c>
      <c r="F35" s="35">
        <v>42110</v>
      </c>
      <c r="G35" s="2">
        <v>10016</v>
      </c>
      <c r="H35" s="436"/>
      <c r="I35" s="436"/>
      <c r="J35" s="435"/>
      <c r="L35" s="95"/>
    </row>
    <row r="36" spans="1:12" x14ac:dyDescent="0.25">
      <c r="A36" s="94" t="s">
        <v>31</v>
      </c>
      <c r="B36" s="106" t="s">
        <v>231</v>
      </c>
      <c r="C36" s="114" t="s">
        <v>246</v>
      </c>
      <c r="D36" s="114" t="s">
        <v>243</v>
      </c>
      <c r="E36" s="109">
        <v>1.2</v>
      </c>
      <c r="F36" s="35">
        <v>42110</v>
      </c>
      <c r="G36" s="2">
        <v>10016</v>
      </c>
      <c r="H36" s="436"/>
      <c r="I36" s="436"/>
      <c r="J36" s="435"/>
      <c r="L36" s="106"/>
    </row>
  </sheetData>
  <sheetProtection algorithmName="SHA-512" hashValue="yye+/WuTS0bE1TOYQIqSEePmw8r/lYYLnVd9+ze/H5diT4iOarHKFkAK/tmA+DJqGQDu1omvIE3orEgms5EDPw==" saltValue="FwW3DyOI77XnGpT9iY0u0Q==" spinCount="100000" sheet="1" objects="1" scenarios="1" autoFilter="0"/>
  <mergeCells count="2">
    <mergeCell ref="A1:G1"/>
    <mergeCell ref="L1:N1"/>
  </mergeCells>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592FF"/>
  </sheetPr>
  <dimension ref="A1:C15"/>
  <sheetViews>
    <sheetView workbookViewId="0">
      <selection activeCell="A13" sqref="A13"/>
    </sheetView>
  </sheetViews>
  <sheetFormatPr defaultColWidth="0" defaultRowHeight="12.75" zeroHeight="1" x14ac:dyDescent="0.2"/>
  <cols>
    <col min="1" max="1" width="38.140625" customWidth="1"/>
    <col min="2" max="2" width="137" style="11" customWidth="1"/>
    <col min="3" max="3" width="9.140625" customWidth="1"/>
    <col min="4" max="16384" width="9.140625" hidden="1"/>
  </cols>
  <sheetData>
    <row r="1" spans="1:3" ht="15" x14ac:dyDescent="0.25">
      <c r="A1" s="59" t="s">
        <v>0</v>
      </c>
      <c r="B1" s="59" t="s">
        <v>45</v>
      </c>
    </row>
    <row r="2" spans="1:3" ht="15" x14ac:dyDescent="0.25">
      <c r="A2" s="58" t="s">
        <v>10</v>
      </c>
      <c r="B2" s="455" t="s">
        <v>297</v>
      </c>
    </row>
    <row r="3" spans="1:3" ht="30" x14ac:dyDescent="0.25">
      <c r="A3" s="58" t="s">
        <v>46</v>
      </c>
      <c r="B3" s="60" t="s">
        <v>49</v>
      </c>
    </row>
    <row r="4" spans="1:3" ht="30" x14ac:dyDescent="0.25">
      <c r="A4" s="58" t="s">
        <v>47</v>
      </c>
      <c r="B4" s="60" t="s">
        <v>50</v>
      </c>
    </row>
    <row r="5" spans="1:3" s="29" customFormat="1" ht="15" x14ac:dyDescent="0.25">
      <c r="A5" s="58" t="s">
        <v>38</v>
      </c>
      <c r="B5" s="60" t="s">
        <v>53</v>
      </c>
      <c r="C5"/>
    </row>
    <row r="6" spans="1:3" s="29" customFormat="1" ht="15" x14ac:dyDescent="0.25">
      <c r="A6" s="58" t="s">
        <v>366</v>
      </c>
      <c r="B6" s="398" t="s">
        <v>401</v>
      </c>
    </row>
    <row r="7" spans="1:3" s="29" customFormat="1" ht="15" x14ac:dyDescent="0.25">
      <c r="A7" s="58" t="s">
        <v>11</v>
      </c>
      <c r="B7" s="61" t="s">
        <v>297</v>
      </c>
    </row>
    <row r="8" spans="1:3" ht="45" x14ac:dyDescent="0.25">
      <c r="A8" s="58" t="s">
        <v>344</v>
      </c>
      <c r="B8" s="61" t="s">
        <v>624</v>
      </c>
      <c r="C8" s="29"/>
    </row>
    <row r="9" spans="1:3" ht="30" x14ac:dyDescent="0.25">
      <c r="A9" s="58" t="s">
        <v>48</v>
      </c>
      <c r="B9" s="61" t="s">
        <v>51</v>
      </c>
    </row>
    <row r="10" spans="1:3" ht="15" x14ac:dyDescent="0.25">
      <c r="A10" s="58" t="s">
        <v>330</v>
      </c>
      <c r="B10" s="219" t="s">
        <v>295</v>
      </c>
    </row>
    <row r="11" spans="1:3" ht="15" x14ac:dyDescent="0.25">
      <c r="A11" s="58" t="s">
        <v>39</v>
      </c>
      <c r="B11" s="61" t="s">
        <v>52</v>
      </c>
    </row>
    <row r="12" spans="1:3" ht="15" x14ac:dyDescent="0.25">
      <c r="A12" s="58" t="s">
        <v>332</v>
      </c>
      <c r="B12" s="61" t="s">
        <v>296</v>
      </c>
    </row>
    <row r="13" spans="1:3" s="29" customFormat="1" ht="30" x14ac:dyDescent="0.25">
      <c r="A13" s="58" t="s">
        <v>40</v>
      </c>
      <c r="B13" s="61" t="s">
        <v>54</v>
      </c>
      <c r="C13"/>
    </row>
    <row r="14" spans="1:3" ht="45" x14ac:dyDescent="0.25">
      <c r="A14" s="58" t="s">
        <v>32</v>
      </c>
      <c r="B14" s="61" t="s">
        <v>55</v>
      </c>
      <c r="C14" s="29"/>
    </row>
    <row r="15" spans="1:3" ht="15" x14ac:dyDescent="0.25">
      <c r="A15" s="58"/>
    </row>
  </sheetData>
  <sheetProtection algorithmName="SHA-512" hashValue="1JIfiU4g53c0nODVbatl/7R6AmMGYPLrOgRnD4YDElhylxav3k0tPJzlYh4EiRmzfO0PUeliBW/iOLkjI1VMDw==" saltValue="ptMSMfeReeNEoJ21vP+zpA==" spinCount="100000" sheet="1" objects="1" scenarios="1"/>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144"/>
  <sheetViews>
    <sheetView workbookViewId="0">
      <pane ySplit="2" topLeftCell="A6" activePane="bottomLeft" state="frozen"/>
      <selection pane="bottomLeft" activeCell="E32" sqref="E32"/>
    </sheetView>
  </sheetViews>
  <sheetFormatPr defaultColWidth="0" defaultRowHeight="12.75" zeroHeight="1" x14ac:dyDescent="0.2"/>
  <cols>
    <col min="1" max="1" width="9.140625" style="29" customWidth="1"/>
    <col min="2" max="2" width="22.85546875" style="29" customWidth="1"/>
    <col min="3" max="3" width="14.7109375" style="29" customWidth="1"/>
    <col min="4" max="4" width="67.140625" style="29" customWidth="1"/>
    <col min="5" max="5" width="65.140625" style="29" customWidth="1"/>
    <col min="6" max="6" width="21.140625" style="29" customWidth="1"/>
    <col min="7" max="16383" width="9.140625" style="29" hidden="1"/>
    <col min="16384" max="16384" width="56.85546875" style="29" hidden="1"/>
  </cols>
  <sheetData>
    <row r="1" spans="1:6" ht="15" x14ac:dyDescent="0.25">
      <c r="A1" s="62" t="s">
        <v>56</v>
      </c>
      <c r="B1" s="62" t="s">
        <v>58</v>
      </c>
      <c r="C1" s="62" t="s">
        <v>59</v>
      </c>
      <c r="D1" s="62" t="s">
        <v>60</v>
      </c>
      <c r="E1" s="62" t="s">
        <v>61</v>
      </c>
      <c r="F1" s="308"/>
    </row>
    <row r="2" spans="1:6" ht="18" thickBot="1" x14ac:dyDescent="0.35">
      <c r="A2" s="63" t="s">
        <v>153</v>
      </c>
      <c r="B2" s="63"/>
      <c r="C2" s="63"/>
      <c r="D2" s="63"/>
      <c r="E2" s="63"/>
    </row>
    <row r="3" spans="1:6" s="64" customFormat="1" ht="15.75" thickTop="1" x14ac:dyDescent="0.25">
      <c r="A3" s="29">
        <v>10001</v>
      </c>
      <c r="B3" s="29" t="s">
        <v>64</v>
      </c>
      <c r="C3" s="29">
        <v>2012</v>
      </c>
      <c r="D3" s="29" t="s">
        <v>65</v>
      </c>
      <c r="E3" s="65" t="s">
        <v>66</v>
      </c>
    </row>
    <row r="4" spans="1:6" s="64" customFormat="1" x14ac:dyDescent="0.2">
      <c r="A4" s="29">
        <v>10002</v>
      </c>
      <c r="B4" s="29" t="s">
        <v>389</v>
      </c>
      <c r="C4" s="29">
        <v>2014</v>
      </c>
      <c r="D4" s="29" t="s">
        <v>390</v>
      </c>
      <c r="E4" s="29" t="s">
        <v>115</v>
      </c>
    </row>
    <row r="5" spans="1:6" ht="15" x14ac:dyDescent="0.25">
      <c r="A5" s="29">
        <v>10003</v>
      </c>
      <c r="B5" s="29" t="s">
        <v>70</v>
      </c>
      <c r="C5" s="29">
        <v>2011</v>
      </c>
      <c r="D5" s="29" t="s">
        <v>71</v>
      </c>
      <c r="E5" s="65" t="s">
        <v>69</v>
      </c>
    </row>
    <row r="6" spans="1:6" ht="15" x14ac:dyDescent="0.25">
      <c r="A6" s="29">
        <v>10004</v>
      </c>
      <c r="B6" s="29" t="s">
        <v>64</v>
      </c>
      <c r="C6" s="29">
        <v>2012</v>
      </c>
      <c r="D6" s="64" t="s">
        <v>81</v>
      </c>
      <c r="E6" s="65" t="s">
        <v>80</v>
      </c>
    </row>
    <row r="7" spans="1:6" ht="15" x14ac:dyDescent="0.25">
      <c r="A7" s="29">
        <v>10005</v>
      </c>
      <c r="B7" s="29" t="s">
        <v>67</v>
      </c>
      <c r="C7" s="29">
        <v>2012</v>
      </c>
      <c r="D7" s="64" t="s">
        <v>85</v>
      </c>
      <c r="E7" s="65" t="s">
        <v>84</v>
      </c>
      <c r="F7" s="13"/>
    </row>
    <row r="8" spans="1:6" ht="15" x14ac:dyDescent="0.25">
      <c r="A8" s="29">
        <v>10006</v>
      </c>
      <c r="B8" s="29" t="s">
        <v>90</v>
      </c>
      <c r="C8" s="29">
        <v>2003</v>
      </c>
      <c r="D8" s="29" t="s">
        <v>91</v>
      </c>
      <c r="E8" s="65" t="s">
        <v>93</v>
      </c>
    </row>
    <row r="9" spans="1:6" ht="15" x14ac:dyDescent="0.25">
      <c r="A9" s="29">
        <v>10007</v>
      </c>
      <c r="B9" s="29" t="s">
        <v>90</v>
      </c>
      <c r="C9" s="29">
        <v>2009</v>
      </c>
      <c r="D9" s="29" t="s">
        <v>92</v>
      </c>
      <c r="E9" s="65" t="s">
        <v>93</v>
      </c>
    </row>
    <row r="10" spans="1:6" ht="15" x14ac:dyDescent="0.25">
      <c r="A10" s="29">
        <v>10008</v>
      </c>
      <c r="B10" s="29" t="s">
        <v>76</v>
      </c>
      <c r="C10" s="29">
        <v>2012</v>
      </c>
      <c r="D10" s="29" t="s">
        <v>103</v>
      </c>
      <c r="E10" s="65" t="s">
        <v>102</v>
      </c>
    </row>
    <row r="11" spans="1:6" ht="15" x14ac:dyDescent="0.25">
      <c r="A11" s="29">
        <v>10009</v>
      </c>
      <c r="B11" s="29" t="s">
        <v>76</v>
      </c>
      <c r="C11" s="29">
        <v>2013</v>
      </c>
      <c r="D11" s="29" t="s">
        <v>105</v>
      </c>
      <c r="E11" s="65" t="s">
        <v>104</v>
      </c>
    </row>
    <row r="12" spans="1:6" ht="15" x14ac:dyDescent="0.25">
      <c r="A12" s="29">
        <v>10010</v>
      </c>
      <c r="B12" s="29" t="s">
        <v>76</v>
      </c>
      <c r="C12" s="29">
        <v>2010</v>
      </c>
      <c r="D12" s="29" t="s">
        <v>78</v>
      </c>
      <c r="E12" s="65" t="s">
        <v>77</v>
      </c>
    </row>
    <row r="13" spans="1:6" x14ac:dyDescent="0.2">
      <c r="A13" s="29">
        <v>10011</v>
      </c>
      <c r="B13" s="29" t="s">
        <v>67</v>
      </c>
      <c r="C13" s="29">
        <v>2014</v>
      </c>
      <c r="D13" s="11" t="s">
        <v>123</v>
      </c>
    </row>
    <row r="14" spans="1:6" x14ac:dyDescent="0.2">
      <c r="A14" s="29">
        <v>10012</v>
      </c>
      <c r="B14" s="29" t="s">
        <v>67</v>
      </c>
      <c r="C14" s="29">
        <v>2014</v>
      </c>
      <c r="D14" s="29" t="s">
        <v>124</v>
      </c>
    </row>
    <row r="15" spans="1:6" ht="15" x14ac:dyDescent="0.25">
      <c r="A15" s="29">
        <v>10013</v>
      </c>
      <c r="B15" s="29" t="s">
        <v>89</v>
      </c>
      <c r="C15" s="29">
        <v>2010</v>
      </c>
      <c r="D15" s="29" t="s">
        <v>140</v>
      </c>
      <c r="E15" s="65" t="s">
        <v>141</v>
      </c>
    </row>
    <row r="16" spans="1:6" ht="15" x14ac:dyDescent="0.25">
      <c r="A16" s="29">
        <v>10014</v>
      </c>
      <c r="B16" s="29" t="s">
        <v>76</v>
      </c>
      <c r="C16" s="29">
        <v>2009</v>
      </c>
      <c r="D16" s="29" t="s">
        <v>143</v>
      </c>
      <c r="E16" s="65" t="s">
        <v>142</v>
      </c>
    </row>
    <row r="17" spans="1:5" ht="15" x14ac:dyDescent="0.25">
      <c r="A17" s="29">
        <v>10015</v>
      </c>
      <c r="B17" s="29" t="s">
        <v>76</v>
      </c>
      <c r="C17" s="29">
        <v>2012</v>
      </c>
      <c r="D17" s="29" t="s">
        <v>144</v>
      </c>
      <c r="E17" s="65" t="s">
        <v>145</v>
      </c>
    </row>
    <row r="18" spans="1:5" ht="15" x14ac:dyDescent="0.25">
      <c r="A18" s="29">
        <v>10016</v>
      </c>
      <c r="B18" s="29" t="s">
        <v>76</v>
      </c>
      <c r="C18" s="29">
        <v>2014</v>
      </c>
      <c r="D18" s="29" t="s">
        <v>147</v>
      </c>
      <c r="E18" s="65" t="s">
        <v>146</v>
      </c>
    </row>
    <row r="19" spans="1:5" ht="15" x14ac:dyDescent="0.25">
      <c r="A19" s="29">
        <v>10017</v>
      </c>
      <c r="B19" s="29" t="s">
        <v>150</v>
      </c>
      <c r="C19" s="29">
        <v>2008</v>
      </c>
      <c r="D19" s="29" t="s">
        <v>149</v>
      </c>
      <c r="E19" s="65" t="s">
        <v>148</v>
      </c>
    </row>
    <row r="20" spans="1:5" ht="15" x14ac:dyDescent="0.25">
      <c r="A20" s="29">
        <v>10018</v>
      </c>
      <c r="B20" s="29" t="s">
        <v>89</v>
      </c>
      <c r="C20" s="29">
        <v>2009</v>
      </c>
      <c r="D20" s="29" t="s">
        <v>322</v>
      </c>
      <c r="E20" s="65" t="s">
        <v>321</v>
      </c>
    </row>
    <row r="21" spans="1:5" ht="15" x14ac:dyDescent="0.25">
      <c r="A21" s="29">
        <v>10019</v>
      </c>
      <c r="B21" s="29" t="s">
        <v>356</v>
      </c>
      <c r="C21" s="29">
        <v>2014</v>
      </c>
      <c r="D21" s="29" t="s">
        <v>359</v>
      </c>
      <c r="E21" s="65" t="s">
        <v>357</v>
      </c>
    </row>
    <row r="22" spans="1:5" x14ac:dyDescent="0.2">
      <c r="A22" s="29">
        <v>10020</v>
      </c>
      <c r="B22" s="29" t="s">
        <v>361</v>
      </c>
      <c r="C22" s="29">
        <v>2015</v>
      </c>
      <c r="D22" s="29" t="s">
        <v>625</v>
      </c>
    </row>
    <row r="23" spans="1:5" x14ac:dyDescent="0.2">
      <c r="A23" s="29">
        <v>10021</v>
      </c>
      <c r="B23" s="29" t="s">
        <v>362</v>
      </c>
      <c r="C23" s="29">
        <v>2014</v>
      </c>
      <c r="D23" s="29" t="s">
        <v>372</v>
      </c>
    </row>
    <row r="24" spans="1:5" x14ac:dyDescent="0.2">
      <c r="A24" s="29">
        <v>10022</v>
      </c>
      <c r="B24" s="29" t="s">
        <v>369</v>
      </c>
      <c r="C24" s="29">
        <v>2014</v>
      </c>
      <c r="D24" s="29" t="s">
        <v>373</v>
      </c>
    </row>
    <row r="25" spans="1:5" ht="15" x14ac:dyDescent="0.25">
      <c r="A25" s="29">
        <v>10023</v>
      </c>
      <c r="B25" s="29" t="s">
        <v>88</v>
      </c>
      <c r="C25" s="29">
        <v>2012</v>
      </c>
      <c r="D25" s="29" t="s">
        <v>562</v>
      </c>
      <c r="E25" s="65" t="s">
        <v>73</v>
      </c>
    </row>
    <row r="26" spans="1:5" ht="15" x14ac:dyDescent="0.25">
      <c r="A26" s="29">
        <v>10024</v>
      </c>
      <c r="B26" s="29" t="s">
        <v>74</v>
      </c>
      <c r="C26" s="29">
        <v>2013</v>
      </c>
      <c r="D26" s="29" t="s">
        <v>75</v>
      </c>
      <c r="E26" s="65" t="s">
        <v>72</v>
      </c>
    </row>
    <row r="27" spans="1:5" ht="15" x14ac:dyDescent="0.25">
      <c r="A27" s="29">
        <v>10025</v>
      </c>
      <c r="B27" s="29" t="s">
        <v>150</v>
      </c>
      <c r="C27" s="29">
        <v>2014</v>
      </c>
      <c r="D27" s="29" t="s">
        <v>563</v>
      </c>
      <c r="E27" s="65" t="s">
        <v>561</v>
      </c>
    </row>
    <row r="28" spans="1:5" ht="15" x14ac:dyDescent="0.25">
      <c r="A28" s="29">
        <v>10026</v>
      </c>
      <c r="B28" s="29" t="s">
        <v>558</v>
      </c>
      <c r="C28" s="29">
        <v>2013</v>
      </c>
      <c r="D28" s="29" t="s">
        <v>566</v>
      </c>
      <c r="E28" s="65" t="s">
        <v>565</v>
      </c>
    </row>
    <row r="29" spans="1:5" ht="15" x14ac:dyDescent="0.25">
      <c r="A29" s="29">
        <v>10027</v>
      </c>
      <c r="B29" s="29" t="s">
        <v>369</v>
      </c>
      <c r="C29" s="29">
        <v>2014</v>
      </c>
      <c r="D29" s="29" t="s">
        <v>574</v>
      </c>
      <c r="E29" s="65" t="s">
        <v>573</v>
      </c>
    </row>
    <row r="30" spans="1:5" ht="15" x14ac:dyDescent="0.25">
      <c r="A30" s="29">
        <v>10028</v>
      </c>
      <c r="B30" s="29" t="s">
        <v>64</v>
      </c>
      <c r="C30" s="29">
        <v>2013</v>
      </c>
      <c r="D30" s="29" t="s">
        <v>599</v>
      </c>
      <c r="E30" s="65" t="s">
        <v>598</v>
      </c>
    </row>
    <row r="31" spans="1:5" ht="15" x14ac:dyDescent="0.25">
      <c r="A31" s="29">
        <v>10029</v>
      </c>
      <c r="B31" s="29" t="s">
        <v>628</v>
      </c>
      <c r="C31" s="29">
        <v>2015</v>
      </c>
      <c r="D31" s="13" t="s">
        <v>635</v>
      </c>
      <c r="E31" s="437" t="s">
        <v>634</v>
      </c>
    </row>
    <row r="32" spans="1:5" ht="15" x14ac:dyDescent="0.25">
      <c r="A32" s="29">
        <v>10030</v>
      </c>
      <c r="B32" s="29" t="s">
        <v>659</v>
      </c>
      <c r="C32" s="29">
        <v>2010</v>
      </c>
      <c r="D32" s="13" t="s">
        <v>658</v>
      </c>
      <c r="E32" s="437" t="s">
        <v>660</v>
      </c>
    </row>
    <row r="33" spans="1:6" ht="15" x14ac:dyDescent="0.25">
      <c r="A33" s="29">
        <v>10031</v>
      </c>
      <c r="B33" s="29" t="s">
        <v>677</v>
      </c>
      <c r="C33" s="29">
        <v>2012</v>
      </c>
      <c r="D33" s="13" t="s">
        <v>678</v>
      </c>
      <c r="E33" s="437" t="s">
        <v>679</v>
      </c>
    </row>
    <row r="34" spans="1:6" ht="15" x14ac:dyDescent="0.25">
      <c r="D34" s="13"/>
      <c r="E34" s="437"/>
    </row>
    <row r="35" spans="1:6" ht="18" thickBot="1" x14ac:dyDescent="0.35">
      <c r="A35" s="63" t="s">
        <v>152</v>
      </c>
      <c r="B35" s="63"/>
      <c r="C35" s="63"/>
      <c r="D35" s="63"/>
      <c r="E35" s="63"/>
      <c r="F35" s="63"/>
    </row>
    <row r="36" spans="1:6" ht="13.5" thickTop="1" x14ac:dyDescent="0.2">
      <c r="A36" s="70"/>
      <c r="B36" s="29" t="s">
        <v>74</v>
      </c>
      <c r="C36" s="29">
        <v>2011</v>
      </c>
      <c r="D36" s="29" t="s">
        <v>75</v>
      </c>
      <c r="E36" s="29" t="s">
        <v>72</v>
      </c>
      <c r="F36" s="13"/>
    </row>
    <row r="37" spans="1:6" x14ac:dyDescent="0.2">
      <c r="B37" s="29" t="s">
        <v>64</v>
      </c>
      <c r="C37" s="29">
        <v>2010</v>
      </c>
      <c r="D37" s="11" t="s">
        <v>83</v>
      </c>
      <c r="E37" s="29" t="s">
        <v>82</v>
      </c>
      <c r="F37" s="13"/>
    </row>
    <row r="38" spans="1:6" x14ac:dyDescent="0.2">
      <c r="B38" s="29" t="s">
        <v>95</v>
      </c>
      <c r="C38" s="29">
        <v>2008</v>
      </c>
      <c r="D38" s="11" t="s">
        <v>96</v>
      </c>
      <c r="E38" s="29" t="s">
        <v>94</v>
      </c>
      <c r="F38" s="13"/>
    </row>
    <row r="39" spans="1:6" x14ac:dyDescent="0.2">
      <c r="B39" s="29" t="s">
        <v>76</v>
      </c>
      <c r="C39" s="29">
        <v>2009</v>
      </c>
      <c r="D39" s="11" t="s">
        <v>97</v>
      </c>
      <c r="E39" s="29" t="s">
        <v>98</v>
      </c>
      <c r="F39" s="13"/>
    </row>
    <row r="40" spans="1:6" ht="14.25" customHeight="1" x14ac:dyDescent="0.2">
      <c r="B40" s="29" t="s">
        <v>99</v>
      </c>
      <c r="C40" s="29">
        <v>2011</v>
      </c>
      <c r="D40" s="11" t="s">
        <v>100</v>
      </c>
      <c r="E40" s="29" t="s">
        <v>101</v>
      </c>
      <c r="F40" s="13"/>
    </row>
    <row r="41" spans="1:6" x14ac:dyDescent="0.2">
      <c r="B41" s="29" t="s">
        <v>107</v>
      </c>
      <c r="C41" s="29">
        <v>2011</v>
      </c>
      <c r="D41" s="11" t="s">
        <v>108</v>
      </c>
      <c r="E41" s="29" t="s">
        <v>106</v>
      </c>
      <c r="F41" s="13"/>
    </row>
    <row r="42" spans="1:6" x14ac:dyDescent="0.2">
      <c r="B42" s="29" t="s">
        <v>76</v>
      </c>
      <c r="C42" s="29">
        <v>2007</v>
      </c>
      <c r="D42" s="11" t="s">
        <v>109</v>
      </c>
      <c r="E42" s="29" t="s">
        <v>110</v>
      </c>
      <c r="F42" s="13"/>
    </row>
    <row r="43" spans="1:6" x14ac:dyDescent="0.2">
      <c r="B43" s="29" t="s">
        <v>76</v>
      </c>
      <c r="C43" s="29">
        <v>2008</v>
      </c>
      <c r="D43" s="11" t="s">
        <v>109</v>
      </c>
      <c r="E43" s="29" t="s">
        <v>111</v>
      </c>
      <c r="F43" s="13"/>
    </row>
    <row r="44" spans="1:6" x14ac:dyDescent="0.2">
      <c r="D44" s="11"/>
    </row>
    <row r="45" spans="1:6" hidden="1" x14ac:dyDescent="0.2"/>
    <row r="46" spans="1:6" hidden="1" x14ac:dyDescent="0.2"/>
    <row r="47" spans="1:6" hidden="1" x14ac:dyDescent="0.2"/>
    <row r="48" spans="1:6" hidden="1" x14ac:dyDescent="0.2">
      <c r="A48" s="70"/>
    </row>
    <row r="49" spans="1:5" hidden="1" x14ac:dyDescent="0.2">
      <c r="A49" s="70"/>
    </row>
    <row r="50" spans="1:5" hidden="1" x14ac:dyDescent="0.2">
      <c r="A50" s="70"/>
    </row>
    <row r="51" spans="1:5" hidden="1" x14ac:dyDescent="0.2">
      <c r="A51" s="70"/>
    </row>
    <row r="52" spans="1:5" hidden="1" x14ac:dyDescent="0.2">
      <c r="A52" s="70"/>
    </row>
    <row r="53" spans="1:5" hidden="1" x14ac:dyDescent="0.2">
      <c r="A53" s="70"/>
    </row>
    <row r="54" spans="1:5" hidden="1" x14ac:dyDescent="0.2">
      <c r="A54" s="70"/>
    </row>
    <row r="55" spans="1:5" hidden="1" x14ac:dyDescent="0.2">
      <c r="A55" s="70"/>
    </row>
    <row r="56" spans="1:5" hidden="1" x14ac:dyDescent="0.2">
      <c r="A56" s="70"/>
    </row>
    <row r="57" spans="1:5" hidden="1" x14ac:dyDescent="0.2">
      <c r="A57" s="70"/>
    </row>
    <row r="58" spans="1:5" hidden="1" x14ac:dyDescent="0.2">
      <c r="A58" s="70"/>
    </row>
    <row r="59" spans="1:5" hidden="1" x14ac:dyDescent="0.2">
      <c r="A59" s="70"/>
    </row>
    <row r="60" spans="1:5" hidden="1" x14ac:dyDescent="0.2"/>
    <row r="61" spans="1:5" hidden="1" x14ac:dyDescent="0.2"/>
    <row r="62" spans="1:5" hidden="1" x14ac:dyDescent="0.2"/>
    <row r="63" spans="1:5" hidden="1" x14ac:dyDescent="0.2"/>
    <row r="64" spans="1:5" ht="15" hidden="1" x14ac:dyDescent="0.25">
      <c r="E64" s="65"/>
    </row>
    <row r="65" spans="1:5" ht="15" hidden="1" x14ac:dyDescent="0.25">
      <c r="B65" s="66"/>
      <c r="C65" s="68"/>
      <c r="E65" s="65"/>
    </row>
    <row r="66" spans="1:5" ht="15" hidden="1" x14ac:dyDescent="0.25">
      <c r="B66" s="66"/>
      <c r="C66" s="5"/>
      <c r="E66" s="65"/>
    </row>
    <row r="67" spans="1:5" ht="15" hidden="1" x14ac:dyDescent="0.25">
      <c r="B67" s="66"/>
      <c r="C67" s="68"/>
      <c r="E67" s="65"/>
    </row>
    <row r="68" spans="1:5" ht="15" hidden="1" x14ac:dyDescent="0.25">
      <c r="A68" s="67"/>
      <c r="D68" s="66"/>
      <c r="E68" s="65"/>
    </row>
    <row r="69" spans="1:5" ht="15" hidden="1" x14ac:dyDescent="0.25">
      <c r="C69" s="5"/>
      <c r="E69" s="65"/>
    </row>
    <row r="70" spans="1:5" ht="15" hidden="1" x14ac:dyDescent="0.25">
      <c r="A70" s="67"/>
      <c r="D70" s="66"/>
      <c r="E70" s="65"/>
    </row>
    <row r="71" spans="1:5" ht="15" hidden="1" x14ac:dyDescent="0.25">
      <c r="C71" s="5"/>
      <c r="E71" s="65"/>
    </row>
    <row r="72" spans="1:5" ht="15" hidden="1" x14ac:dyDescent="0.25">
      <c r="B72" s="66"/>
      <c r="C72" s="5"/>
      <c r="E72" s="65"/>
    </row>
    <row r="73" spans="1:5" ht="15" hidden="1" x14ac:dyDescent="0.25">
      <c r="B73" s="66"/>
      <c r="C73" s="68"/>
      <c r="E73" s="65"/>
    </row>
    <row r="74" spans="1:5" ht="15" hidden="1" x14ac:dyDescent="0.25">
      <c r="A74" s="67"/>
      <c r="D74" s="66"/>
      <c r="E74" s="65"/>
    </row>
    <row r="75" spans="1:5" ht="15" hidden="1" x14ac:dyDescent="0.25">
      <c r="E75" s="65"/>
    </row>
    <row r="76" spans="1:5" ht="15" hidden="1" x14ac:dyDescent="0.25">
      <c r="B76" s="66"/>
      <c r="E76" s="65"/>
    </row>
    <row r="77" spans="1:5" ht="15" hidden="1" x14ac:dyDescent="0.25">
      <c r="B77" s="66"/>
      <c r="C77" s="5"/>
      <c r="E77" s="65"/>
    </row>
    <row r="78" spans="1:5" ht="15" hidden="1" x14ac:dyDescent="0.25">
      <c r="B78" s="66"/>
      <c r="C78" s="68"/>
      <c r="E78" s="65"/>
    </row>
    <row r="79" spans="1:5" ht="15" hidden="1" x14ac:dyDescent="0.25">
      <c r="A79" s="67"/>
      <c r="D79" s="66"/>
      <c r="E79" s="65"/>
    </row>
    <row r="80" spans="1:5" ht="15" hidden="1" x14ac:dyDescent="0.25">
      <c r="E80" s="65"/>
    </row>
    <row r="81" spans="1:5" ht="15" hidden="1" x14ac:dyDescent="0.25">
      <c r="B81" s="66"/>
      <c r="E81" s="65"/>
    </row>
    <row r="82" spans="1:5" ht="15" hidden="1" x14ac:dyDescent="0.25">
      <c r="B82" s="66"/>
      <c r="C82" s="5"/>
      <c r="E82" s="65"/>
    </row>
    <row r="83" spans="1:5" ht="15" hidden="1" x14ac:dyDescent="0.25">
      <c r="B83" s="66"/>
      <c r="C83" s="68"/>
      <c r="E83" s="65"/>
    </row>
    <row r="84" spans="1:5" ht="15" hidden="1" x14ac:dyDescent="0.25">
      <c r="A84" s="67"/>
      <c r="D84" s="66"/>
      <c r="E84" s="65"/>
    </row>
    <row r="85" spans="1:5" ht="15" hidden="1" x14ac:dyDescent="0.25">
      <c r="E85" s="65"/>
    </row>
    <row r="86" spans="1:5" ht="15" hidden="1" x14ac:dyDescent="0.25">
      <c r="B86" s="66"/>
      <c r="C86" s="5"/>
      <c r="E86" s="65"/>
    </row>
    <row r="87" spans="1:5" ht="15" hidden="1" x14ac:dyDescent="0.25">
      <c r="B87" s="66"/>
      <c r="C87" s="68"/>
      <c r="E87" s="65"/>
    </row>
    <row r="88" spans="1:5" ht="15" hidden="1" x14ac:dyDescent="0.25">
      <c r="A88" s="67"/>
      <c r="D88" s="66"/>
      <c r="E88" s="65"/>
    </row>
    <row r="89" spans="1:5" ht="15" hidden="1" x14ac:dyDescent="0.25">
      <c r="E89" s="65"/>
    </row>
    <row r="90" spans="1:5" ht="15" hidden="1" x14ac:dyDescent="0.25">
      <c r="B90" s="66"/>
      <c r="C90" s="5"/>
      <c r="E90" s="65"/>
    </row>
    <row r="91" spans="1:5" ht="15" hidden="1" x14ac:dyDescent="0.25">
      <c r="B91" s="66"/>
      <c r="C91" s="68"/>
      <c r="E91" s="65"/>
    </row>
    <row r="92" spans="1:5" ht="15" hidden="1" x14ac:dyDescent="0.25">
      <c r="A92" s="67"/>
      <c r="D92" s="66"/>
      <c r="E92" s="65"/>
    </row>
    <row r="93" spans="1:5" ht="15" hidden="1" x14ac:dyDescent="0.25">
      <c r="C93" s="5"/>
      <c r="E93" s="65"/>
    </row>
    <row r="94" spans="1:5" ht="15" hidden="1" x14ac:dyDescent="0.25">
      <c r="A94" s="67"/>
      <c r="D94" s="66"/>
      <c r="E94" s="65"/>
    </row>
    <row r="95" spans="1:5" ht="15" hidden="1" x14ac:dyDescent="0.25">
      <c r="B95" s="66"/>
      <c r="C95" s="5"/>
      <c r="E95" s="65"/>
    </row>
    <row r="96" spans="1:5" ht="15" hidden="1" x14ac:dyDescent="0.25">
      <c r="B96" s="66"/>
      <c r="C96" s="68"/>
      <c r="E96" s="65"/>
    </row>
    <row r="97" spans="1:5" ht="15" hidden="1" x14ac:dyDescent="0.25">
      <c r="A97" s="67"/>
      <c r="D97" s="66"/>
      <c r="E97" s="65"/>
    </row>
    <row r="98" spans="1:5" ht="15" hidden="1" x14ac:dyDescent="0.25">
      <c r="B98" s="66"/>
      <c r="C98" s="5"/>
      <c r="E98" s="65"/>
    </row>
    <row r="99" spans="1:5" ht="15" hidden="1" x14ac:dyDescent="0.25">
      <c r="A99" s="67"/>
      <c r="D99" s="66"/>
      <c r="E99" s="65"/>
    </row>
    <row r="100" spans="1:5" ht="15" hidden="1" x14ac:dyDescent="0.25">
      <c r="B100" s="66"/>
      <c r="C100" s="68"/>
      <c r="E100" s="65"/>
    </row>
    <row r="101" spans="1:5" ht="15" hidden="1" x14ac:dyDescent="0.25">
      <c r="A101" s="67"/>
      <c r="D101" s="66"/>
      <c r="E101" s="65"/>
    </row>
    <row r="102" spans="1:5" ht="15" hidden="1" x14ac:dyDescent="0.25">
      <c r="B102" s="66"/>
      <c r="C102" s="5"/>
      <c r="E102" s="65"/>
    </row>
    <row r="103" spans="1:5" ht="15" hidden="1" x14ac:dyDescent="0.25">
      <c r="B103" s="66"/>
      <c r="C103" s="68"/>
      <c r="E103" s="65"/>
    </row>
    <row r="104" spans="1:5" ht="15" hidden="1" x14ac:dyDescent="0.25">
      <c r="A104" s="67"/>
      <c r="D104" s="66"/>
      <c r="E104" s="65"/>
    </row>
    <row r="105" spans="1:5" ht="15" hidden="1" x14ac:dyDescent="0.25">
      <c r="B105" s="66"/>
      <c r="C105" s="5"/>
      <c r="E105" s="65"/>
    </row>
    <row r="106" spans="1:5" ht="15" hidden="1" x14ac:dyDescent="0.25">
      <c r="B106" s="66"/>
      <c r="C106" s="5"/>
      <c r="E106" s="65"/>
    </row>
    <row r="107" spans="1:5" ht="15" hidden="1" x14ac:dyDescent="0.25">
      <c r="B107" s="66"/>
      <c r="C107" s="5"/>
      <c r="E107" s="65"/>
    </row>
    <row r="108" spans="1:5" ht="15" hidden="1" x14ac:dyDescent="0.25">
      <c r="A108" s="67"/>
      <c r="D108" s="66"/>
      <c r="E108" s="65"/>
    </row>
    <row r="109" spans="1:5" ht="15" hidden="1" x14ac:dyDescent="0.25">
      <c r="B109" s="66"/>
      <c r="C109" s="5"/>
      <c r="E109" s="65"/>
    </row>
    <row r="110" spans="1:5" ht="15" hidden="1" x14ac:dyDescent="0.25">
      <c r="B110" s="66"/>
      <c r="C110" s="5"/>
      <c r="E110" s="65"/>
    </row>
    <row r="111" spans="1:5" ht="15" hidden="1" x14ac:dyDescent="0.25">
      <c r="B111" s="66"/>
      <c r="C111" s="68"/>
      <c r="E111" s="65"/>
    </row>
    <row r="112" spans="1:5" ht="15" hidden="1" x14ac:dyDescent="0.25">
      <c r="A112" s="67"/>
      <c r="D112" s="66"/>
      <c r="E112" s="65"/>
    </row>
    <row r="113" spans="1:5" ht="15" hidden="1" x14ac:dyDescent="0.25">
      <c r="B113" s="66"/>
      <c r="C113" s="68"/>
      <c r="E113" s="65"/>
    </row>
    <row r="114" spans="1:5" ht="15" hidden="1" x14ac:dyDescent="0.25">
      <c r="A114" s="67"/>
      <c r="D114" s="66"/>
      <c r="E114" s="65"/>
    </row>
    <row r="115" spans="1:5" ht="15" hidden="1" x14ac:dyDescent="0.25">
      <c r="A115" s="69"/>
      <c r="C115" s="5"/>
      <c r="D115" s="66"/>
      <c r="E115" s="65"/>
    </row>
    <row r="116" spans="1:5" ht="15" hidden="1" x14ac:dyDescent="0.25">
      <c r="B116" s="66"/>
      <c r="C116" s="68"/>
      <c r="E116" s="65"/>
    </row>
    <row r="117" spans="1:5" ht="15" hidden="1" x14ac:dyDescent="0.25">
      <c r="A117" s="67"/>
      <c r="D117" s="66"/>
      <c r="E117" s="65"/>
    </row>
    <row r="118" spans="1:5" ht="15" hidden="1" x14ac:dyDescent="0.25">
      <c r="C118" s="5"/>
      <c r="E118" s="65"/>
    </row>
    <row r="119" spans="1:5" ht="15" hidden="1" x14ac:dyDescent="0.25">
      <c r="A119" s="67"/>
      <c r="D119" s="66"/>
      <c r="E119" s="65"/>
    </row>
    <row r="120" spans="1:5" ht="15" hidden="1" x14ac:dyDescent="0.25">
      <c r="B120" s="66"/>
      <c r="C120" s="5"/>
      <c r="E120" s="65"/>
    </row>
    <row r="121" spans="1:5" ht="15" hidden="1" x14ac:dyDescent="0.25">
      <c r="A121" s="67"/>
      <c r="D121" s="66"/>
      <c r="E121" s="65"/>
    </row>
    <row r="122" spans="1:5" ht="15" hidden="1" x14ac:dyDescent="0.25">
      <c r="B122" s="66"/>
      <c r="C122" s="68"/>
      <c r="E122" s="65"/>
    </row>
    <row r="123" spans="1:5" ht="15" hidden="1" x14ac:dyDescent="0.25">
      <c r="B123" s="66"/>
      <c r="C123" s="5"/>
      <c r="E123" s="65"/>
    </row>
    <row r="124" spans="1:5" ht="15" hidden="1" x14ac:dyDescent="0.25">
      <c r="A124" s="67"/>
      <c r="D124" s="66"/>
      <c r="E124" s="65"/>
    </row>
    <row r="125" spans="1:5" ht="15" hidden="1" x14ac:dyDescent="0.25">
      <c r="C125" s="5"/>
      <c r="E125" s="65"/>
    </row>
    <row r="126" spans="1:5" ht="15" hidden="1" x14ac:dyDescent="0.25">
      <c r="B126" s="66"/>
      <c r="C126" s="5"/>
      <c r="E126" s="65"/>
    </row>
    <row r="127" spans="1:5" ht="15" hidden="1" x14ac:dyDescent="0.25">
      <c r="B127" s="66"/>
      <c r="C127" s="5"/>
      <c r="E127" s="65"/>
    </row>
    <row r="128" spans="1:5" ht="15" hidden="1" x14ac:dyDescent="0.25">
      <c r="B128" s="66"/>
      <c r="C128" s="68"/>
      <c r="E128" s="65"/>
    </row>
    <row r="129" spans="1:5" ht="15" hidden="1" x14ac:dyDescent="0.25">
      <c r="A129" s="67"/>
      <c r="D129" s="66"/>
      <c r="E129" s="65"/>
    </row>
    <row r="130" spans="1:5" ht="15" hidden="1" x14ac:dyDescent="0.25">
      <c r="C130" s="5"/>
      <c r="E130" s="65"/>
    </row>
    <row r="131" spans="1:5" ht="15" hidden="1" x14ac:dyDescent="0.25">
      <c r="B131" s="66"/>
      <c r="C131" s="5"/>
      <c r="E131" s="65"/>
    </row>
    <row r="132" spans="1:5" ht="15" hidden="1" x14ac:dyDescent="0.25">
      <c r="B132" s="66"/>
      <c r="C132" s="5"/>
      <c r="E132" s="65"/>
    </row>
    <row r="133" spans="1:5" ht="15" hidden="1" x14ac:dyDescent="0.25">
      <c r="B133" s="66"/>
      <c r="C133" s="68"/>
      <c r="E133" s="65"/>
    </row>
    <row r="134" spans="1:5" hidden="1" x14ac:dyDescent="0.2"/>
    <row r="135" spans="1:5" hidden="1" x14ac:dyDescent="0.2"/>
    <row r="136" spans="1:5" hidden="1" x14ac:dyDescent="0.2"/>
    <row r="137" spans="1:5" hidden="1" x14ac:dyDescent="0.2"/>
    <row r="138" spans="1:5" hidden="1" x14ac:dyDescent="0.2"/>
    <row r="139" spans="1:5" hidden="1" x14ac:dyDescent="0.2"/>
    <row r="140" spans="1:5" hidden="1" x14ac:dyDescent="0.2"/>
    <row r="141" spans="1:5" hidden="1" x14ac:dyDescent="0.2"/>
    <row r="142" spans="1:5" x14ac:dyDescent="0.2"/>
    <row r="143" spans="1:5" x14ac:dyDescent="0.2"/>
    <row r="144" spans="1:5" x14ac:dyDescent="0.2"/>
  </sheetData>
  <sheetProtection algorithmName="SHA-512" hashValue="U1bo1GJJWoRFaocXAt1I8Aez1x0WTb8PyK9EDmED/QituANNU8i7sKy9qkZZSexwALRAhmu17ckuH4HDFGmiHA==" saltValue="eYFbAuX/T5YGjeRUTp8HRg==" spinCount="100000" sheet="1" objects="1" scenarios="1"/>
  <hyperlinks>
    <hyperlink ref="E9" r:id="rId1"/>
    <hyperlink ref="E8" r:id="rId2"/>
    <hyperlink ref="E7" r:id="rId3"/>
    <hyperlink ref="E6" r:id="rId4"/>
    <hyperlink ref="E10" r:id="rId5"/>
    <hyperlink ref="E11" r:id="rId6"/>
    <hyperlink ref="E15" r:id="rId7"/>
    <hyperlink ref="E18" r:id="rId8"/>
    <hyperlink ref="E16" r:id="rId9"/>
    <hyperlink ref="E17" r:id="rId10"/>
    <hyperlink ref="E19" r:id="rId11"/>
    <hyperlink ref="E12" r:id="rId12"/>
    <hyperlink ref="E3" r:id="rId13"/>
    <hyperlink ref="E20" r:id="rId14" location="!documentDetail;D=EERE-2006-STD-0129-0170"/>
    <hyperlink ref="E21" r:id="rId15"/>
    <hyperlink ref="E25" r:id="rId16"/>
    <hyperlink ref="E27" r:id="rId17"/>
    <hyperlink ref="E28" r:id="rId18"/>
    <hyperlink ref="E31" r:id="rId19"/>
    <hyperlink ref="E26" r:id="rId20"/>
    <hyperlink ref="E5" r:id="rId21"/>
  </hyperlinks>
  <pageMargins left="0.7" right="0.7" top="0.75" bottom="0.75" header="0.3" footer="0.3"/>
  <pageSetup orientation="portrait" r:id="rId2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1" tint="0.499984740745262"/>
  </sheetPr>
  <dimension ref="A1:AD133"/>
  <sheetViews>
    <sheetView topLeftCell="A2" workbookViewId="0">
      <selection activeCell="J14" sqref="J14"/>
    </sheetView>
  </sheetViews>
  <sheetFormatPr defaultRowHeight="12.75" x14ac:dyDescent="0.2"/>
  <cols>
    <col min="1" max="1" width="11.7109375" customWidth="1"/>
    <col min="2" max="2" width="17.28515625" customWidth="1"/>
    <col min="3" max="3" width="19" customWidth="1"/>
    <col min="4" max="8" width="10.140625" customWidth="1"/>
    <col min="9" max="11" width="10" customWidth="1"/>
    <col min="12" max="12" width="15.85546875" customWidth="1"/>
    <col min="13" max="13" width="20.5703125" customWidth="1"/>
    <col min="14" max="14" width="26.28515625" customWidth="1"/>
    <col min="15" max="15" width="16" customWidth="1"/>
    <col min="16" max="19" width="5" customWidth="1"/>
    <col min="20" max="20" width="6" style="29" customWidth="1"/>
    <col min="21" max="21" width="17.140625" customWidth="1"/>
    <col min="22" max="22" width="5" customWidth="1"/>
    <col min="23" max="23" width="19.7109375" customWidth="1"/>
    <col min="24" max="24" width="16.140625" customWidth="1"/>
    <col min="25" max="26" width="5" customWidth="1"/>
    <col min="27" max="27" width="18.7109375" customWidth="1"/>
    <col min="28" max="28" width="18.28515625" customWidth="1"/>
    <col min="29" max="29" width="5" style="29" customWidth="1"/>
    <col min="30" max="32" width="5" customWidth="1"/>
    <col min="33" max="33" width="20.85546875" bestFit="1" customWidth="1"/>
    <col min="34" max="34" width="18.7109375" bestFit="1" customWidth="1"/>
    <col min="35" max="36" width="5" customWidth="1"/>
    <col min="37" max="37" width="21.42578125" bestFit="1" customWidth="1"/>
    <col min="38" max="38" width="9.5703125" customWidth="1"/>
    <col min="39" max="39" width="5" customWidth="1"/>
    <col min="40" max="40" width="12" customWidth="1"/>
    <col min="41" max="41" width="10" customWidth="1"/>
    <col min="42" max="43" width="18.28515625" bestFit="1" customWidth="1"/>
    <col min="44" max="44" width="20.85546875" bestFit="1" customWidth="1"/>
    <col min="45" max="47" width="18.7109375" bestFit="1" customWidth="1"/>
    <col min="48" max="48" width="21.42578125" bestFit="1" customWidth="1"/>
    <col min="49" max="50" width="9.5703125" bestFit="1" customWidth="1"/>
    <col min="51" max="51" width="12" bestFit="1" customWidth="1"/>
    <col min="52" max="52" width="8" customWidth="1"/>
    <col min="53" max="53" width="16.140625" bestFit="1" customWidth="1"/>
    <col min="54" max="54" width="18.7109375" bestFit="1" customWidth="1"/>
    <col min="56" max="57" width="16.140625" bestFit="1" customWidth="1"/>
    <col min="58" max="58" width="18.7109375" bestFit="1" customWidth="1"/>
    <col min="59" max="59" width="17.85546875" bestFit="1" customWidth="1"/>
    <col min="60" max="61" width="16.140625" bestFit="1" customWidth="1"/>
    <col min="62" max="62" width="18.7109375" bestFit="1" customWidth="1"/>
    <col min="63" max="63" width="14.42578125" bestFit="1" customWidth="1"/>
    <col min="64" max="64" width="10" bestFit="1" customWidth="1"/>
  </cols>
  <sheetData>
    <row r="1" spans="1:29" s="29" customFormat="1" ht="13.5" thickBot="1" x14ac:dyDescent="0.25">
      <c r="A1" s="122" t="s">
        <v>381</v>
      </c>
      <c r="B1" s="20"/>
      <c r="C1" s="20"/>
      <c r="D1" s="20"/>
      <c r="L1" t="s">
        <v>303</v>
      </c>
    </row>
    <row r="2" spans="1:29" s="29" customFormat="1" ht="13.5" thickBot="1" x14ac:dyDescent="0.25">
      <c r="A2" s="29" t="s">
        <v>681</v>
      </c>
      <c r="B2" s="7" t="s">
        <v>382</v>
      </c>
      <c r="C2" s="393" t="s">
        <v>383</v>
      </c>
      <c r="D2" s="44">
        <v>1</v>
      </c>
      <c r="L2" s="259" t="s">
        <v>300</v>
      </c>
    </row>
    <row r="3" spans="1:29" s="29" customFormat="1" ht="51.75" thickBot="1" x14ac:dyDescent="0.25">
      <c r="A3" s="29" t="s">
        <v>67</v>
      </c>
      <c r="B3" s="394" t="s">
        <v>670</v>
      </c>
      <c r="C3" s="397" t="s">
        <v>675</v>
      </c>
      <c r="D3" s="51">
        <v>5</v>
      </c>
      <c r="L3" s="261" t="s">
        <v>301</v>
      </c>
    </row>
    <row r="4" spans="1:29" s="29" customFormat="1" ht="13.5" thickBot="1" x14ac:dyDescent="0.25">
      <c r="A4" s="29" t="s">
        <v>361</v>
      </c>
      <c r="B4" s="395" t="s">
        <v>671</v>
      </c>
      <c r="L4" s="260" t="s">
        <v>302</v>
      </c>
    </row>
    <row r="5" spans="1:29" s="29" customFormat="1" x14ac:dyDescent="0.2">
      <c r="A5" s="36" t="s">
        <v>362</v>
      </c>
      <c r="B5" s="395" t="s">
        <v>672</v>
      </c>
      <c r="K5"/>
    </row>
    <row r="6" spans="1:29" s="29" customFormat="1" x14ac:dyDescent="0.2">
      <c r="A6" s="36" t="s">
        <v>369</v>
      </c>
      <c r="B6" s="395" t="s">
        <v>673</v>
      </c>
    </row>
    <row r="7" spans="1:29" s="29" customFormat="1" ht="13.5" thickBot="1" x14ac:dyDescent="0.25">
      <c r="B7" s="396" t="s">
        <v>674</v>
      </c>
    </row>
    <row r="8" spans="1:29" s="29" customFormat="1" x14ac:dyDescent="0.2">
      <c r="P8"/>
      <c r="Q8"/>
      <c r="R8"/>
      <c r="S8"/>
    </row>
    <row r="9" spans="1:29" ht="13.5" customHeight="1" thickBot="1" x14ac:dyDescent="0.25">
      <c r="A9" s="122" t="s">
        <v>277</v>
      </c>
      <c r="B9" s="20"/>
      <c r="C9" s="20"/>
      <c r="D9" s="20"/>
      <c r="E9" s="20"/>
      <c r="F9" s="20"/>
      <c r="G9" s="20"/>
      <c r="H9" s="20"/>
      <c r="I9" s="20"/>
      <c r="J9" s="20"/>
      <c r="K9" s="20"/>
      <c r="L9" s="20"/>
      <c r="N9" s="122" t="s">
        <v>273</v>
      </c>
      <c r="O9" s="20"/>
      <c r="P9" s="20"/>
      <c r="Q9" s="20"/>
      <c r="R9" s="20"/>
      <c r="AC9"/>
    </row>
    <row r="10" spans="1:29" ht="12.75" customHeight="1" x14ac:dyDescent="0.2">
      <c r="A10" s="42"/>
      <c r="B10" s="43" t="s">
        <v>266</v>
      </c>
      <c r="C10" s="43" t="s">
        <v>265</v>
      </c>
      <c r="D10" s="43" t="s">
        <v>202</v>
      </c>
      <c r="E10" s="43" t="s">
        <v>139</v>
      </c>
      <c r="F10" s="43" t="s">
        <v>263</v>
      </c>
      <c r="G10" s="43" t="s">
        <v>79</v>
      </c>
      <c r="H10" s="43" t="s">
        <v>264</v>
      </c>
      <c r="I10" s="43"/>
      <c r="J10" s="43"/>
      <c r="K10" s="43"/>
      <c r="L10" s="44"/>
      <c r="N10" s="42" t="s">
        <v>137</v>
      </c>
      <c r="O10" s="43" t="s">
        <v>267</v>
      </c>
      <c r="P10" s="43" t="s">
        <v>116</v>
      </c>
      <c r="Q10" s="43"/>
      <c r="R10" s="44"/>
      <c r="T10"/>
    </row>
    <row r="11" spans="1:29" s="11" customFormat="1" ht="51" x14ac:dyDescent="0.2">
      <c r="A11" s="246"/>
      <c r="B11" s="39"/>
      <c r="C11" s="39"/>
      <c r="D11" s="247" t="str">
        <f ca="1">IF($D$3=5,OFFSET('Measure Data'!CX7,0,($D$3+2)*1),OFFSET('Measure Data'!CX7,0,($D$3-1)*2))</f>
        <v>% of CA Homes with…</v>
      </c>
      <c r="E11" s="248" t="str">
        <f>'Measure Data'!DK7</f>
        <v>% Shipments (within fuel type)</v>
      </c>
      <c r="F11" s="248" t="str">
        <f>'Measure Data'!CM7</f>
        <v>Average % of Assortment (online)</v>
      </c>
      <c r="G11" s="248" t="str">
        <f>'Measure Data'!DW7</f>
        <v>Incremental Cost</v>
      </c>
      <c r="H11" s="248" t="str">
        <f>'Measure Data'!EP7</f>
        <v>Savings over baseline (%)</v>
      </c>
      <c r="I11" s="39"/>
      <c r="J11" s="39"/>
      <c r="K11" s="39"/>
      <c r="L11" s="249"/>
      <c r="N11" s="45" t="s">
        <v>118</v>
      </c>
      <c r="O11" s="391">
        <f>'Measure Data'!H6</f>
        <v>8</v>
      </c>
      <c r="P11" s="193" t="s">
        <v>386</v>
      </c>
      <c r="Q11" s="3"/>
      <c r="R11" s="46"/>
      <c r="S11"/>
      <c r="T11"/>
      <c r="U11"/>
    </row>
    <row r="12" spans="1:29" ht="17.25" customHeight="1" x14ac:dyDescent="0.2">
      <c r="A12" s="45" t="s">
        <v>267</v>
      </c>
      <c r="B12" s="3"/>
      <c r="C12" s="3"/>
      <c r="D12" s="376">
        <f ca="1">IF($D$3=5,OFFSET('Measure Data'!CX6,0,($D$3+2)*1),OFFSET('Measure Data'!CX6,0,($D$3-1)*2))</f>
        <v>109</v>
      </c>
      <c r="E12" s="251">
        <f>'Measure Data'!DK6</f>
        <v>115</v>
      </c>
      <c r="F12" s="251">
        <f>'Measure Data'!CM6</f>
        <v>91</v>
      </c>
      <c r="G12" s="251">
        <f>'Measure Data'!DW6</f>
        <v>127</v>
      </c>
      <c r="H12" s="251">
        <f>'Measure Data'!EZ6</f>
        <v>156</v>
      </c>
      <c r="I12" s="3"/>
      <c r="J12" s="3"/>
      <c r="K12" s="3"/>
      <c r="L12" s="46"/>
      <c r="N12" s="45" t="s">
        <v>392</v>
      </c>
      <c r="O12" s="206">
        <f>'Measure Data'!BT6</f>
        <v>72</v>
      </c>
      <c r="P12" s="3" t="s">
        <v>271</v>
      </c>
      <c r="Q12" s="3"/>
      <c r="R12" s="46"/>
      <c r="S12" s="29"/>
      <c r="T12"/>
    </row>
    <row r="13" spans="1:29" s="29" customFormat="1" x14ac:dyDescent="0.2">
      <c r="A13" s="45"/>
      <c r="B13" s="3"/>
      <c r="C13" s="3"/>
      <c r="D13" s="206">
        <f ca="1">INDEX('Measure Data'!2:2,'Intermediate Data'!D$12)</f>
        <v>2012</v>
      </c>
      <c r="E13" s="206">
        <f>INDEX('Measure Data'!2:2,'Intermediate Data'!E$12)</f>
        <v>2010</v>
      </c>
      <c r="F13" s="206">
        <f>INDEX('Measure Data'!2:2,'Intermediate Data'!F$12)</f>
        <v>2013</v>
      </c>
      <c r="G13" s="206">
        <f>INDEX('Measure Data'!2:2,'Intermediate Data'!G$12)</f>
        <v>2013</v>
      </c>
      <c r="H13" s="206">
        <f>INDEX('Measure Data'!2:2,'Intermediate Data'!H$12)</f>
        <v>2015</v>
      </c>
      <c r="I13" s="3"/>
      <c r="J13" s="3"/>
      <c r="K13" s="3"/>
      <c r="L13" s="46"/>
      <c r="N13" s="45" t="s">
        <v>119</v>
      </c>
      <c r="O13" s="379">
        <f>'Measure Data'!CW6</f>
        <v>101</v>
      </c>
      <c r="P13" s="3" t="s">
        <v>386</v>
      </c>
      <c r="Q13" s="3"/>
      <c r="R13" s="46"/>
      <c r="T13"/>
      <c r="U13"/>
    </row>
    <row r="14" spans="1:29" x14ac:dyDescent="0.2">
      <c r="A14" s="45"/>
      <c r="B14" s="3"/>
      <c r="C14" s="3"/>
      <c r="D14" s="206" t="str">
        <f ca="1">INDEX('Measure Data'!3:3,'Intermediate Data'!D$12)</f>
        <v>California</v>
      </c>
      <c r="E14" s="206" t="str">
        <f>INDEX('Measure Data'!3:3,'Intermediate Data'!E$12)</f>
        <v>National</v>
      </c>
      <c r="F14" s="36" t="s">
        <v>391</v>
      </c>
      <c r="G14" s="36" t="s">
        <v>391</v>
      </c>
      <c r="H14" s="206" t="str">
        <f>INDEX('Measure Data'!3:3,'Intermediate Data'!H$12)</f>
        <v>National</v>
      </c>
      <c r="I14" s="3"/>
      <c r="J14" s="3"/>
      <c r="K14" s="3"/>
      <c r="L14" s="46"/>
      <c r="N14" s="45" t="s">
        <v>117</v>
      </c>
      <c r="O14" s="206">
        <f>'Measure Data'!DF6</f>
        <v>110</v>
      </c>
      <c r="P14" s="3" t="s">
        <v>68</v>
      </c>
      <c r="Q14" s="3"/>
      <c r="R14" s="46"/>
      <c r="S14" s="29"/>
      <c r="T14"/>
    </row>
    <row r="15" spans="1:29" ht="51" x14ac:dyDescent="0.2">
      <c r="A15" s="45" t="s">
        <v>0</v>
      </c>
      <c r="B15" s="3"/>
      <c r="C15" s="3"/>
      <c r="D15" s="377" t="str">
        <f ca="1">D11</f>
        <v>% of CA Homes with…</v>
      </c>
      <c r="E15" s="39" t="s">
        <v>270</v>
      </c>
      <c r="F15" s="3" t="s">
        <v>268</v>
      </c>
      <c r="G15" s="3" t="s">
        <v>269</v>
      </c>
      <c r="H15" s="3" t="s">
        <v>727</v>
      </c>
      <c r="I15" s="3"/>
      <c r="J15" s="3"/>
      <c r="K15" s="3"/>
      <c r="L15" s="46"/>
      <c r="N15" s="45" t="s">
        <v>63</v>
      </c>
      <c r="O15" s="206">
        <f>'Measure Data'!DP6</f>
        <v>120</v>
      </c>
      <c r="P15" s="3" t="s">
        <v>271</v>
      </c>
      <c r="Q15" s="3"/>
      <c r="R15" s="46"/>
      <c r="S15" s="29"/>
      <c r="T15"/>
    </row>
    <row r="16" spans="1:29" x14ac:dyDescent="0.2">
      <c r="A16" s="45">
        <v>1</v>
      </c>
      <c r="B16" s="206">
        <f>MATCH('Intermediate Data'!A16,'Measure Data'!$B$7:$B$19,0)</f>
        <v>2</v>
      </c>
      <c r="C16" s="206" t="str">
        <f>INDEX('Measure Data'!$B$7:$C$19,'Intermediate Data'!B16,2)</f>
        <v>Electric Federal Baseline</v>
      </c>
      <c r="D16" s="252">
        <f ca="1">IF(ISNUMBER(INDEX('Measure Data'!$7:$19,'Intermediate Data'!$B16,'Intermediate Data'!D$12)),INDEX('Measure Data'!$7:$19,'Intermediate Data'!$B16,'Intermediate Data'!D$12),'Summary View'!$AH$5)</f>
        <v>7.1999999999999995E-2</v>
      </c>
      <c r="E16" s="252">
        <f>IF(ISNUMBER(INDEX('Measure Data'!$7:$19,'Intermediate Data'!$B16,'Intermediate Data'!E$12)),INDEX('Measure Data'!$7:$19,'Intermediate Data'!$B16,'Intermediate Data'!E$12),'Summary View'!$AH$5)</f>
        <v>0.98417677903183032</v>
      </c>
      <c r="F16" s="252">
        <f>IF(ISNUMBER(INDEX('Measure Data'!$7:$19,'Intermediate Data'!$B16,'Intermediate Data'!F$12)),INDEX('Measure Data'!$7:$19,'Intermediate Data'!$B16,'Intermediate Data'!F$12),'Summary View'!$AH$5)</f>
        <v>0.23247232472324722</v>
      </c>
      <c r="G16" s="253">
        <f>IF(ISNUMBER(INDEX('Measure Data'!$7:$19,'Intermediate Data'!$B16,'Intermediate Data'!G$12)),INDEX('Measure Data'!$7:$19,'Intermediate Data'!$B16,'Intermediate Data'!G$12),'Summary View'!$AH$5)</f>
        <v>0</v>
      </c>
      <c r="H16" s="252">
        <f>IF(ISNUMBER(INDEX('Measure Data'!$7:$19,'Intermediate Data'!$B16,'Intermediate Data'!H$12)),INDEX('Measure Data'!$7:$19,'Intermediate Data'!$B16,'Intermediate Data'!H$12),'Summary View'!$AH$5)</f>
        <v>0</v>
      </c>
      <c r="I16" s="3"/>
      <c r="J16" s="3"/>
      <c r="K16" s="3"/>
      <c r="L16" s="46"/>
      <c r="N16" s="45" t="s">
        <v>394</v>
      </c>
      <c r="O16" s="206">
        <f>'Measure Data'!EL6</f>
        <v>142</v>
      </c>
      <c r="P16" s="3" t="s">
        <v>68</v>
      </c>
      <c r="Q16" s="3"/>
      <c r="R16" s="46"/>
      <c r="S16" s="29"/>
      <c r="T16"/>
    </row>
    <row r="17" spans="1:20" x14ac:dyDescent="0.2">
      <c r="A17" s="45">
        <v>2</v>
      </c>
      <c r="B17" s="206">
        <f>MATCH('Intermediate Data'!A17,'Measure Data'!$B$7:$B$19,0)</f>
        <v>3</v>
      </c>
      <c r="C17" s="206" t="str">
        <f>INDEX('Measure Data'!$B$7:$C$19,'Intermediate Data'!B17,2)</f>
        <v>Heat Pump</v>
      </c>
      <c r="D17" s="252" t="str">
        <f ca="1">IF(ISNUMBER(INDEX('Measure Data'!$7:$19,'Intermediate Data'!$B17,'Intermediate Data'!D$12)),INDEX('Measure Data'!$7:$19,'Intermediate Data'!$B17,'Intermediate Data'!D$12),'Summary View'!$AH$5)</f>
        <v xml:space="preserve"> </v>
      </c>
      <c r="E17" s="252">
        <f>IF(ISNUMBER(INDEX('Measure Data'!$7:$19,'Intermediate Data'!$B17,'Intermediate Data'!E$12)),INDEX('Measure Data'!$7:$19,'Intermediate Data'!$B17,'Intermediate Data'!E$12),'Summary View'!$AH$5)</f>
        <v>1.58232209681697E-2</v>
      </c>
      <c r="F17" s="252">
        <f>IF(ISNUMBER(INDEX('Measure Data'!$7:$19,'Intermediate Data'!$B17,'Intermediate Data'!F$12)),INDEX('Measure Data'!$7:$19,'Intermediate Data'!$B17,'Intermediate Data'!F$12),'Summary View'!$AH$5)</f>
        <v>2.5830258302583026E-2</v>
      </c>
      <c r="G17" s="253" t="str">
        <f>IF(ISNUMBER(INDEX('Measure Data'!$7:$19,'Intermediate Data'!$B17,'Intermediate Data'!G$12)),INDEX('Measure Data'!$7:$19,'Intermediate Data'!$B17,'Intermediate Data'!G$12),'Summary View'!$AH$5)</f>
        <v xml:space="preserve"> </v>
      </c>
      <c r="H17" s="252">
        <f>IF(ISNUMBER(INDEX('Measure Data'!$7:$19,'Intermediate Data'!$B17,'Intermediate Data'!H$12)),INDEX('Measure Data'!$7:$19,'Intermediate Data'!$B17,'Intermediate Data'!H$12),'Summary View'!$AH$5)</f>
        <v>0.42576687116564416</v>
      </c>
      <c r="I17" s="3"/>
      <c r="J17" s="3"/>
      <c r="K17" s="3"/>
      <c r="L17" s="46"/>
      <c r="N17" s="45" t="s">
        <v>393</v>
      </c>
      <c r="O17" s="206">
        <v>1</v>
      </c>
      <c r="P17" s="3" t="s">
        <v>276</v>
      </c>
      <c r="Q17" s="3"/>
      <c r="R17" s="46"/>
      <c r="S17" s="29"/>
      <c r="T17"/>
    </row>
    <row r="18" spans="1:20" ht="13.5" thickBot="1" x14ac:dyDescent="0.25">
      <c r="A18" s="45">
        <v>3</v>
      </c>
      <c r="B18" s="206">
        <f>MATCH('Intermediate Data'!A18,'Measure Data'!$B$7:$B$19,0)</f>
        <v>4</v>
      </c>
      <c r="C18" s="206" t="str">
        <f>INDEX('Measure Data'!$B$7:$C$19,'Intermediate Data'!B18,2)</f>
        <v>Point-of-Use</v>
      </c>
      <c r="D18" s="252" t="str">
        <f ca="1">IF(ISNUMBER(INDEX('Measure Data'!$7:$19,'Intermediate Data'!$B18,'Intermediate Data'!D$12)),INDEX('Measure Data'!$7:$19,'Intermediate Data'!$B18,'Intermediate Data'!D$12),'Summary View'!$AH$5)</f>
        <v xml:space="preserve"> </v>
      </c>
      <c r="E18" s="252" t="str">
        <f>IF(ISNUMBER(INDEX('Measure Data'!$7:$19,'Intermediate Data'!$B18,'Intermediate Data'!E$12)),INDEX('Measure Data'!$7:$19,'Intermediate Data'!$B18,'Intermediate Data'!E$12),'Summary View'!$AH$5)</f>
        <v xml:space="preserve"> </v>
      </c>
      <c r="F18" s="252">
        <f>IF(ISNUMBER(INDEX('Measure Data'!$7:$19,'Intermediate Data'!$B18,'Intermediate Data'!F$12)),INDEX('Measure Data'!$7:$19,'Intermediate Data'!$B18,'Intermediate Data'!F$12),'Summary View'!$AH$5)</f>
        <v>0.29889298892988925</v>
      </c>
      <c r="G18" s="253" t="str">
        <f>IF(ISNUMBER(INDEX('Measure Data'!$7:$19,'Intermediate Data'!$B18,'Intermediate Data'!G$12)),INDEX('Measure Data'!$7:$19,'Intermediate Data'!$B18,'Intermediate Data'!G$12),'Summary View'!$AH$5)</f>
        <v xml:space="preserve"> </v>
      </c>
      <c r="H18" s="252" t="str">
        <f>IF(ISNUMBER(INDEX('Measure Data'!$7:$19,'Intermediate Data'!$B18,'Intermediate Data'!H$12)),INDEX('Measure Data'!$7:$19,'Intermediate Data'!$B18,'Intermediate Data'!H$12),'Summary View'!$AH$5)</f>
        <v xml:space="preserve"> </v>
      </c>
      <c r="I18" s="3"/>
      <c r="J18" s="3"/>
      <c r="K18" s="3"/>
      <c r="L18" s="46"/>
      <c r="N18" s="50" t="s">
        <v>395</v>
      </c>
      <c r="O18" s="254">
        <v>1</v>
      </c>
      <c r="P18" s="52" t="s">
        <v>68</v>
      </c>
      <c r="Q18" s="52"/>
      <c r="R18" s="51"/>
      <c r="S18" s="29"/>
      <c r="T18"/>
    </row>
    <row r="19" spans="1:20" x14ac:dyDescent="0.2">
      <c r="A19" s="45">
        <v>4</v>
      </c>
      <c r="B19" s="206">
        <f>MATCH('Intermediate Data'!A19,'Measure Data'!$B$7:$B$19,0)</f>
        <v>5</v>
      </c>
      <c r="C19" s="206" t="str">
        <f>INDEX('Measure Data'!$B$7:$C$19,'Intermediate Data'!B19,2)</f>
        <v>Electric Whole-home Tankless</v>
      </c>
      <c r="D19" s="252">
        <f ca="1">IF(ISNUMBER(INDEX('Measure Data'!$7:$19,'Intermediate Data'!$B19,'Intermediate Data'!D$12)),INDEX('Measure Data'!$7:$19,'Intermediate Data'!$B19,'Intermediate Data'!D$12),'Summary View'!$AH$5)</f>
        <v>2E-3</v>
      </c>
      <c r="E19" s="252" t="str">
        <f>IF(ISNUMBER(INDEX('Measure Data'!$7:$19,'Intermediate Data'!$B19,'Intermediate Data'!E$12)),INDEX('Measure Data'!$7:$19,'Intermediate Data'!$B19,'Intermediate Data'!E$12),'Summary View'!$AH$5)</f>
        <v xml:space="preserve"> </v>
      </c>
      <c r="F19" s="252">
        <f>IF(ISNUMBER(INDEX('Measure Data'!$7:$19,'Intermediate Data'!$B19,'Intermediate Data'!F$12)),INDEX('Measure Data'!$7:$19,'Intermediate Data'!$B19,'Intermediate Data'!F$12),'Summary View'!$AH$5)</f>
        <v>0.14760147601476015</v>
      </c>
      <c r="G19" s="253" t="str">
        <f>IF(ISNUMBER(INDEX('Measure Data'!$7:$19,'Intermediate Data'!$B19,'Intermediate Data'!G$12)),INDEX('Measure Data'!$7:$19,'Intermediate Data'!$B19,'Intermediate Data'!G$12),'Summary View'!$AH$5)</f>
        <v xml:space="preserve"> </v>
      </c>
      <c r="H19" s="252" t="str">
        <f>IF(ISNUMBER(INDEX('Measure Data'!$7:$19,'Intermediate Data'!$B19,'Intermediate Data'!H$12)),INDEX('Measure Data'!$7:$19,'Intermediate Data'!$B19,'Intermediate Data'!H$12),'Summary View'!$AH$5)</f>
        <v xml:space="preserve"> </v>
      </c>
      <c r="I19" s="3"/>
      <c r="J19" s="3"/>
      <c r="K19" s="3"/>
      <c r="L19" s="46"/>
      <c r="T19"/>
    </row>
    <row r="20" spans="1:20" x14ac:dyDescent="0.2">
      <c r="A20" s="45">
        <v>5</v>
      </c>
      <c r="B20" s="206">
        <f>MATCH('Intermediate Data'!A20,'Measure Data'!$B$7:$B$19,0)</f>
        <v>6</v>
      </c>
      <c r="C20" s="206" t="str">
        <f>INDEX('Measure Data'!$B$7:$C$19,'Intermediate Data'!B20,2)</f>
        <v>Gas Federal Baseline</v>
      </c>
      <c r="D20" s="252">
        <f ca="1">IF(ISNUMBER(INDEX('Measure Data'!$7:$19,'Intermediate Data'!$B20,'Intermediate Data'!D$12)),INDEX('Measure Data'!$7:$19,'Intermediate Data'!$B20,'Intermediate Data'!D$12),'Summary View'!$AH$5)</f>
        <v>0.83899999999999997</v>
      </c>
      <c r="E20" s="252">
        <f>IF(ISNUMBER(INDEX('Measure Data'!$7:$19,'Intermediate Data'!$B20,'Intermediate Data'!E$12)),INDEX('Measure Data'!$7:$19,'Intermediate Data'!$B20,'Intermediate Data'!E$12),'Summary View'!$AH$5)</f>
        <v>0.8022633416019882</v>
      </c>
      <c r="F20" s="252">
        <f>IF(ISNUMBER(INDEX('Measure Data'!$7:$19,'Intermediate Data'!$B20,'Intermediate Data'!F$12)),INDEX('Measure Data'!$7:$19,'Intermediate Data'!$B20,'Intermediate Data'!F$12),'Summary View'!$AH$5)</f>
        <v>0.20295202952029517</v>
      </c>
      <c r="G20" s="253">
        <f>IF(ISNUMBER(INDEX('Measure Data'!$7:$19,'Intermediate Data'!$B20,'Intermediate Data'!G$12)),INDEX('Measure Data'!$7:$19,'Intermediate Data'!$B20,'Intermediate Data'!G$12),'Summary View'!$AH$5)</f>
        <v>0</v>
      </c>
      <c r="H20" s="252">
        <f>IF(ISNUMBER(INDEX('Measure Data'!$7:$19,'Intermediate Data'!$B20,'Intermediate Data'!H$12)),INDEX('Measure Data'!$7:$19,'Intermediate Data'!$B20,'Intermediate Data'!H$12),'Summary View'!$AH$5)</f>
        <v>0</v>
      </c>
      <c r="I20" s="3"/>
      <c r="J20" s="3"/>
      <c r="K20" s="3"/>
      <c r="L20" s="46"/>
    </row>
    <row r="21" spans="1:20" x14ac:dyDescent="0.2">
      <c r="A21" s="45">
        <v>6</v>
      </c>
      <c r="B21" s="206">
        <f>MATCH('Intermediate Data'!A21,'Measure Data'!$B$7:$B$19,0)</f>
        <v>7</v>
      </c>
      <c r="C21" s="206" t="str">
        <f>INDEX('Measure Data'!$B$7:$C$19,'Intermediate Data'!B21,2)</f>
        <v>Gas Storage ENERGY STAR</v>
      </c>
      <c r="D21" s="252" t="str">
        <f ca="1">IF(ISNUMBER(INDEX('Measure Data'!$7:$19,'Intermediate Data'!$B21,'Intermediate Data'!D$12)),INDEX('Measure Data'!$7:$19,'Intermediate Data'!$B21,'Intermediate Data'!D$12),'Summary View'!$AH$5)</f>
        <v xml:space="preserve"> </v>
      </c>
      <c r="E21" s="252">
        <f>IF(ISNUMBER(INDEX('Measure Data'!$7:$19,'Intermediate Data'!$B21,'Intermediate Data'!E$12)),INDEX('Measure Data'!$7:$19,'Intermediate Data'!$B21,'Intermediate Data'!E$12),'Summary View'!$AH$5)</f>
        <v>0.10532228066640263</v>
      </c>
      <c r="F21" s="252">
        <f>IF(ISNUMBER(INDEX('Measure Data'!$7:$19,'Intermediate Data'!$B21,'Intermediate Data'!F$12)),INDEX('Measure Data'!$7:$19,'Intermediate Data'!$B21,'Intermediate Data'!F$12),'Summary View'!$AH$5)</f>
        <v>2.9520295202952025E-2</v>
      </c>
      <c r="G21" s="253">
        <f>IF(ISNUMBER(INDEX('Measure Data'!$7:$19,'Intermediate Data'!$B21,'Intermediate Data'!G$12)),INDEX('Measure Data'!$7:$19,'Intermediate Data'!$B21,'Intermediate Data'!G$12),'Summary View'!$AH$5)</f>
        <v>390</v>
      </c>
      <c r="H21" s="252">
        <f>IF(ISNUMBER(INDEX('Measure Data'!$7:$19,'Intermediate Data'!$B21,'Intermediate Data'!H$12)),INDEX('Measure Data'!$7:$19,'Intermediate Data'!$B21,'Intermediate Data'!H$12),'Summary View'!$AH$5)</f>
        <v>0.14012738853503184</v>
      </c>
      <c r="I21" s="3"/>
      <c r="J21" s="3"/>
      <c r="K21" s="3"/>
      <c r="L21" s="46"/>
    </row>
    <row r="22" spans="1:20" x14ac:dyDescent="0.2">
      <c r="A22" s="45">
        <v>7</v>
      </c>
      <c r="B22" s="206">
        <f>MATCH('Intermediate Data'!A22,'Measure Data'!$B$7:$B$19,0)</f>
        <v>8</v>
      </c>
      <c r="C22" s="206" t="str">
        <f>INDEX('Measure Data'!$B$7:$C$19,'Intermediate Data'!B22,2)</f>
        <v>Condensing Storage ENERGY STAR</v>
      </c>
      <c r="D22" s="252" t="str">
        <f ca="1">IF(ISNUMBER(INDEX('Measure Data'!$7:$19,'Intermediate Data'!$B22,'Intermediate Data'!D$12)),INDEX('Measure Data'!$7:$19,'Intermediate Data'!$B22,'Intermediate Data'!D$12),'Summary View'!$AH$5)</f>
        <v xml:space="preserve"> </v>
      </c>
      <c r="E22" s="252" t="str">
        <f>IF(ISNUMBER(INDEX('Measure Data'!$7:$19,'Intermediate Data'!$B22,'Intermediate Data'!E$12)),INDEX('Measure Data'!$7:$19,'Intermediate Data'!$B22,'Intermediate Data'!E$12),'Summary View'!$AH$5)</f>
        <v xml:space="preserve"> </v>
      </c>
      <c r="F22" s="252">
        <f>IF(ISNUMBER(INDEX('Measure Data'!$7:$19,'Intermediate Data'!$B22,'Intermediate Data'!F$12)),INDEX('Measure Data'!$7:$19,'Intermediate Data'!$B22,'Intermediate Data'!F$12),'Summary View'!$AH$5)</f>
        <v>0</v>
      </c>
      <c r="G22" s="253" t="str">
        <f>IF(ISNUMBER(INDEX('Measure Data'!$7:$19,'Intermediate Data'!$B22,'Intermediate Data'!G$12)),INDEX('Measure Data'!$7:$19,'Intermediate Data'!$B22,'Intermediate Data'!G$12),'Summary View'!$AH$5)</f>
        <v xml:space="preserve"> </v>
      </c>
      <c r="H22" s="252">
        <f>IF(ISNUMBER(INDEX('Measure Data'!$7:$19,'Intermediate Data'!$B22,'Intermediate Data'!H$12)),INDEX('Measure Data'!$7:$19,'Intermediate Data'!$B22,'Intermediate Data'!H$12),'Summary View'!$AH$5)</f>
        <v>0.28025477707006369</v>
      </c>
      <c r="I22" s="3"/>
      <c r="J22" s="3"/>
      <c r="K22" s="3"/>
      <c r="L22" s="46"/>
    </row>
    <row r="23" spans="1:20" x14ac:dyDescent="0.2">
      <c r="A23" s="45">
        <v>8</v>
      </c>
      <c r="B23" s="206">
        <f>MATCH('Intermediate Data'!A23,'Measure Data'!$B$7:$B$19,0)</f>
        <v>9</v>
      </c>
      <c r="C23" s="206" t="str">
        <f>INDEX('Measure Data'!$B$7:$C$19,'Intermediate Data'!B23,2)</f>
        <v>Condensing Tankless</v>
      </c>
      <c r="D23" s="252" t="str">
        <f ca="1">IF(ISNUMBER(INDEX('Measure Data'!$7:$19,'Intermediate Data'!$B23,'Intermediate Data'!D$12)),INDEX('Measure Data'!$7:$19,'Intermediate Data'!$B23,'Intermediate Data'!D$12),'Summary View'!$AH$5)</f>
        <v xml:space="preserve"> </v>
      </c>
      <c r="E23" s="252" t="str">
        <f>IF(ISNUMBER(INDEX('Measure Data'!$7:$19,'Intermediate Data'!$B23,'Intermediate Data'!E$12)),INDEX('Measure Data'!$7:$19,'Intermediate Data'!$B23,'Intermediate Data'!E$12),'Summary View'!$AH$5)</f>
        <v xml:space="preserve"> </v>
      </c>
      <c r="F23" s="252">
        <f>IF(ISNUMBER(INDEX('Measure Data'!$7:$19,'Intermediate Data'!$B23,'Intermediate Data'!F$12)),INDEX('Measure Data'!$7:$19,'Intermediate Data'!$B23,'Intermediate Data'!F$12),'Summary View'!$AH$5)</f>
        <v>0</v>
      </c>
      <c r="G23" s="253" t="str">
        <f>IF(ISNUMBER(INDEX('Measure Data'!$7:$19,'Intermediate Data'!$B23,'Intermediate Data'!G$12)),INDEX('Measure Data'!$7:$19,'Intermediate Data'!$B23,'Intermediate Data'!G$12),'Summary View'!$AH$5)</f>
        <v xml:space="preserve"> </v>
      </c>
      <c r="H23" s="252">
        <f>IF(ISNUMBER(INDEX('Measure Data'!$7:$19,'Intermediate Data'!$B23,'Intermediate Data'!H$12)),INDEX('Measure Data'!$7:$19,'Intermediate Data'!$B23,'Intermediate Data'!H$12),'Summary View'!$AH$5)</f>
        <v>0.31847133757961782</v>
      </c>
      <c r="I23" s="3"/>
      <c r="J23" s="3"/>
      <c r="K23" s="3"/>
      <c r="L23" s="46"/>
    </row>
    <row r="24" spans="1:20" x14ac:dyDescent="0.2">
      <c r="A24" s="45">
        <v>9</v>
      </c>
      <c r="B24" s="206">
        <f>MATCH('Intermediate Data'!A24,'Measure Data'!$B$7:$B$19,0)</f>
        <v>10</v>
      </c>
      <c r="C24" s="206" t="str">
        <f>INDEX('Measure Data'!$B$7:$C$19,'Intermediate Data'!B24,2)</f>
        <v>Gas Whole-home Tankless</v>
      </c>
      <c r="D24" s="252">
        <f ca="1">IF(ISNUMBER(INDEX('Measure Data'!$7:$19,'Intermediate Data'!$B24,'Intermediate Data'!D$12)),INDEX('Measure Data'!$7:$19,'Intermediate Data'!$B24,'Intermediate Data'!D$12),'Summary View'!$AH$5)</f>
        <v>4.2999999999999997E-2</v>
      </c>
      <c r="E24" s="252">
        <f>IF(ISNUMBER(INDEX('Measure Data'!$7:$19,'Intermediate Data'!$B24,'Intermediate Data'!E$12)),INDEX('Measure Data'!$7:$19,'Intermediate Data'!$B24,'Intermediate Data'!E$12),'Summary View'!$AH$5)</f>
        <v>3.4682027372258547E-3</v>
      </c>
      <c r="F24" s="252">
        <f>IF(ISNUMBER(INDEX('Measure Data'!$7:$19,'Intermediate Data'!$B24,'Intermediate Data'!F$12)),INDEX('Measure Data'!$7:$19,'Intermediate Data'!$B24,'Intermediate Data'!F$12),'Summary View'!$AH$5)</f>
        <v>0</v>
      </c>
      <c r="G24" s="253">
        <f>IF(ISNUMBER(INDEX('Measure Data'!$7:$19,'Intermediate Data'!$B24,'Intermediate Data'!G$12)),INDEX('Measure Data'!$7:$19,'Intermediate Data'!$B24,'Intermediate Data'!G$12),'Summary View'!$AH$5)</f>
        <v>1262</v>
      </c>
      <c r="H24" s="252">
        <f>IF(ISNUMBER(INDEX('Measure Data'!$7:$19,'Intermediate Data'!$B24,'Intermediate Data'!H$12)),INDEX('Measure Data'!$7:$19,'Intermediate Data'!$B24,'Intermediate Data'!H$12),'Summary View'!$AH$5)</f>
        <v>0.29936305732484075</v>
      </c>
      <c r="I24" s="3"/>
      <c r="J24" s="3"/>
      <c r="K24" s="3"/>
      <c r="L24" s="46"/>
    </row>
    <row r="25" spans="1:20" x14ac:dyDescent="0.2">
      <c r="A25" s="45">
        <v>10</v>
      </c>
      <c r="B25" s="206">
        <f>MATCH('Intermediate Data'!A25,'Measure Data'!$B$7:$B$19,0)</f>
        <v>11</v>
      </c>
      <c r="C25" s="206" t="str">
        <f>INDEX('Measure Data'!$B$7:$C$19,'Intermediate Data'!B25,2)</f>
        <v>Gas Whole-home Tankless ENERGY STAR</v>
      </c>
      <c r="D25" s="252" t="str">
        <f ca="1">IF(ISNUMBER(INDEX('Measure Data'!$7:$19,'Intermediate Data'!$B25,'Intermediate Data'!D$12)),INDEX('Measure Data'!$7:$19,'Intermediate Data'!$B25,'Intermediate Data'!D$12),'Summary View'!$AH$5)</f>
        <v xml:space="preserve"> </v>
      </c>
      <c r="E25" s="252">
        <f>IF(ISNUMBER(INDEX('Measure Data'!$7:$19,'Intermediate Data'!$B25,'Intermediate Data'!E$12)),INDEX('Measure Data'!$7:$19,'Intermediate Data'!$B25,'Intermediate Data'!E$12),'Summary View'!$AH$5)</f>
        <v>8.8946174994383342E-2</v>
      </c>
      <c r="F25" s="252">
        <f>IF(ISNUMBER(INDEX('Measure Data'!$7:$19,'Intermediate Data'!$B25,'Intermediate Data'!F$12)),INDEX('Measure Data'!$7:$19,'Intermediate Data'!$B25,'Intermediate Data'!F$12),'Summary View'!$AH$5)</f>
        <v>6.273062730627306E-2</v>
      </c>
      <c r="G25" s="253" t="str">
        <f>IF(ISNUMBER(INDEX('Measure Data'!$7:$19,'Intermediate Data'!$B25,'Intermediate Data'!G$12)),INDEX('Measure Data'!$7:$19,'Intermediate Data'!$B25,'Intermediate Data'!G$12),'Summary View'!$AH$5)</f>
        <v xml:space="preserve"> </v>
      </c>
      <c r="H25" s="252">
        <f>IF(ISNUMBER(INDEX('Measure Data'!$7:$19,'Intermediate Data'!$B25,'Intermediate Data'!H$12)),INDEX('Measure Data'!$7:$19,'Intermediate Data'!$B25,'Intermediate Data'!H$12),'Summary View'!$AH$5)</f>
        <v>0.37579617834394907</v>
      </c>
      <c r="I25" s="3"/>
      <c r="J25" s="3"/>
      <c r="K25" s="3"/>
      <c r="L25" s="46"/>
    </row>
    <row r="26" spans="1:20" x14ac:dyDescent="0.2">
      <c r="A26" s="45">
        <v>11</v>
      </c>
      <c r="B26" s="206">
        <f>MATCH('Intermediate Data'!A26,'Measure Data'!$B$7:$B$19,0)</f>
        <v>12</v>
      </c>
      <c r="C26" s="206" t="str">
        <f>INDEX('Measure Data'!$B$7:$C$19,'Intermediate Data'!B26,2)</f>
        <v>Gas Hybrid</v>
      </c>
      <c r="D26" s="252" t="str">
        <f ca="1">IF(ISNUMBER(INDEX('Measure Data'!$7:$19,'Intermediate Data'!$B26,'Intermediate Data'!D$12)),INDEX('Measure Data'!$7:$19,'Intermediate Data'!$B26,'Intermediate Data'!D$12),'Summary View'!$AH$5)</f>
        <v xml:space="preserve"> </v>
      </c>
      <c r="E26" s="252" t="str">
        <f>IF(ISNUMBER(INDEX('Measure Data'!$7:$19,'Intermediate Data'!$B26,'Intermediate Data'!E$12)),INDEX('Measure Data'!$7:$19,'Intermediate Data'!$B26,'Intermediate Data'!E$12),'Summary View'!$AH$5)</f>
        <v xml:space="preserve"> </v>
      </c>
      <c r="F26" s="252">
        <f>IF(ISNUMBER(INDEX('Measure Data'!$7:$19,'Intermediate Data'!$B26,'Intermediate Data'!F$12)),INDEX('Measure Data'!$7:$19,'Intermediate Data'!$B26,'Intermediate Data'!F$12),'Summary View'!$AH$5)</f>
        <v>0</v>
      </c>
      <c r="G26" s="253" t="str">
        <f>IF(ISNUMBER(INDEX('Measure Data'!$7:$19,'Intermediate Data'!$B26,'Intermediate Data'!G$12)),INDEX('Measure Data'!$7:$19,'Intermediate Data'!$B26,'Intermediate Data'!G$12),'Summary View'!$AH$5)</f>
        <v xml:space="preserve"> </v>
      </c>
      <c r="H26" s="252" t="str">
        <f>IF(ISNUMBER(INDEX('Measure Data'!$7:$19,'Intermediate Data'!$B26,'Intermediate Data'!H$12)),INDEX('Measure Data'!$7:$19,'Intermediate Data'!$B26,'Intermediate Data'!H$12),'Summary View'!$AH$5)</f>
        <v xml:space="preserve"> </v>
      </c>
      <c r="I26" s="3"/>
      <c r="J26" s="3"/>
      <c r="K26" s="3"/>
      <c r="L26" s="46"/>
    </row>
    <row r="27" spans="1:20" ht="13.5" thickBot="1" x14ac:dyDescent="0.25">
      <c r="A27" s="50">
        <v>12</v>
      </c>
      <c r="B27" s="254">
        <f>MATCH('Intermediate Data'!A27,'Measure Data'!$B$7:$B$19,0)</f>
        <v>13</v>
      </c>
      <c r="C27" s="254" t="str">
        <f>INDEX('Measure Data'!$B$7:$C$19,'Intermediate Data'!B27,2)</f>
        <v>Solar</v>
      </c>
      <c r="D27" s="255">
        <f ca="1">IF(ISNUMBER(INDEX('Measure Data'!$7:$19,'Intermediate Data'!$B27,'Intermediate Data'!D$12)),INDEX('Measure Data'!$7:$19,'Intermediate Data'!$B27,'Intermediate Data'!D$12),'Summary View'!$AH$5)</f>
        <v>3.0000000000000001E-3</v>
      </c>
      <c r="E27" s="255">
        <f>IF(ISNUMBER(INDEX('Measure Data'!$7:$19,'Intermediate Data'!$B27,'Intermediate Data'!E$12)),INDEX('Measure Data'!$7:$19,'Intermediate Data'!$B27,'Intermediate Data'!E$12),'Summary View'!$AH$5)</f>
        <v>4.137460836501055E-3</v>
      </c>
      <c r="F27" s="255">
        <f>IF(ISNUMBER(INDEX('Measure Data'!$7:$19,'Intermediate Data'!$B27,'Intermediate Data'!F$12)),INDEX('Measure Data'!$7:$19,'Intermediate Data'!$B27,'Intermediate Data'!F$12),'Summary View'!$AH$5)</f>
        <v>0</v>
      </c>
      <c r="G27" s="256" t="str">
        <f>IF(ISNUMBER(INDEX('Measure Data'!$7:$19,'Intermediate Data'!$B27,'Intermediate Data'!G$12)),INDEX('Measure Data'!$7:$19,'Intermediate Data'!$B27,'Intermediate Data'!G$12),'Summary View'!$AH$5)</f>
        <v xml:space="preserve"> </v>
      </c>
      <c r="H27" s="255">
        <f>IF(ISNUMBER(INDEX('Measure Data'!$7:$19,'Intermediate Data'!$B27,'Intermediate Data'!H$12)),INDEX('Measure Data'!$7:$19,'Intermediate Data'!$B27,'Intermediate Data'!H$12),'Summary View'!$AH$5)</f>
        <v>0.5</v>
      </c>
      <c r="I27" s="52"/>
      <c r="J27" s="52"/>
      <c r="K27" s="52"/>
      <c r="L27" s="51"/>
    </row>
    <row r="28" spans="1:20" ht="15" customHeight="1" x14ac:dyDescent="0.2"/>
    <row r="29" spans="1:20" ht="13.5" thickBot="1" x14ac:dyDescent="0.25">
      <c r="A29" s="122" t="s">
        <v>278</v>
      </c>
      <c r="B29" s="20"/>
      <c r="C29" s="20"/>
      <c r="D29" s="20"/>
      <c r="E29" s="20"/>
      <c r="F29" s="20"/>
      <c r="G29" s="20"/>
      <c r="H29" s="20"/>
      <c r="I29" s="20"/>
      <c r="J29" s="20"/>
      <c r="K29" s="20"/>
      <c r="L29" s="20"/>
    </row>
    <row r="30" spans="1:20" s="29" customFormat="1" ht="16.149999999999999" customHeight="1" x14ac:dyDescent="0.2">
      <c r="A30" s="393" t="s">
        <v>399</v>
      </c>
      <c r="B30" s="43"/>
      <c r="C30" s="43"/>
      <c r="D30" s="43"/>
      <c r="E30" s="43"/>
      <c r="F30" s="43"/>
      <c r="G30" s="43"/>
      <c r="H30" s="43"/>
      <c r="I30" s="43"/>
      <c r="J30" s="43"/>
      <c r="K30" s="43"/>
      <c r="L30" s="44"/>
    </row>
    <row r="31" spans="1:20" ht="13.9" customHeight="1" x14ac:dyDescent="0.2">
      <c r="A31" s="619" t="s">
        <v>67</v>
      </c>
      <c r="B31" s="614"/>
      <c r="C31" s="614" t="s">
        <v>361</v>
      </c>
      <c r="D31" s="614"/>
      <c r="E31" s="614" t="s">
        <v>362</v>
      </c>
      <c r="F31" s="614"/>
      <c r="G31" s="614" t="s">
        <v>369</v>
      </c>
      <c r="H31" s="614"/>
      <c r="I31" s="3"/>
      <c r="J31" s="3"/>
      <c r="K31" s="3"/>
      <c r="L31" s="46"/>
    </row>
    <row r="32" spans="1:20" x14ac:dyDescent="0.2">
      <c r="A32" s="45" t="s">
        <v>0</v>
      </c>
      <c r="B32" s="3" t="s">
        <v>266</v>
      </c>
      <c r="C32" s="45" t="s">
        <v>0</v>
      </c>
      <c r="D32" s="3" t="s">
        <v>266</v>
      </c>
      <c r="E32" s="45" t="s">
        <v>0</v>
      </c>
      <c r="F32" s="3" t="s">
        <v>266</v>
      </c>
      <c r="G32" s="45" t="s">
        <v>0</v>
      </c>
      <c r="H32" s="3" t="s">
        <v>266</v>
      </c>
      <c r="I32" s="3"/>
      <c r="J32" s="3"/>
      <c r="K32" s="3"/>
      <c r="L32" s="46"/>
    </row>
    <row r="33" spans="1:30" x14ac:dyDescent="0.2">
      <c r="A33" s="45">
        <v>2</v>
      </c>
      <c r="B33" s="206">
        <f>MATCH('Intermediate Data'!A33,'Measure Data'!$B$7:$B$19,0)</f>
        <v>3</v>
      </c>
      <c r="C33" s="45">
        <v>2</v>
      </c>
      <c r="D33" s="206">
        <f>IFERROR(MATCH('Intermediate Data'!C33,'Measure Data'!$B$7:$B$19,0),"")</f>
        <v>3</v>
      </c>
      <c r="E33" s="45">
        <v>8</v>
      </c>
      <c r="F33" s="206">
        <f>IFERROR(MATCH('Intermediate Data'!E33,'Measure Data'!$B$7:$B$19,0),"")</f>
        <v>9</v>
      </c>
      <c r="G33" s="45">
        <v>2</v>
      </c>
      <c r="H33" s="206">
        <f>IFERROR(MATCH('Intermediate Data'!G33,'Measure Data'!$B$7:$B$19,0),"")</f>
        <v>3</v>
      </c>
      <c r="I33" s="3"/>
      <c r="J33" s="3"/>
      <c r="K33" s="3"/>
      <c r="L33" s="46"/>
    </row>
    <row r="34" spans="1:30" x14ac:dyDescent="0.2">
      <c r="A34" s="45">
        <v>6</v>
      </c>
      <c r="B34" s="206">
        <f>MATCH('Intermediate Data'!A34,'Measure Data'!$B$7:$B$19,0)</f>
        <v>7</v>
      </c>
      <c r="C34" s="45"/>
      <c r="D34" s="206" t="str">
        <f>IFERROR(MATCH('Intermediate Data'!C34,'Measure Data'!$B$7:$B$19,0),"")</f>
        <v/>
      </c>
      <c r="E34" s="45"/>
      <c r="F34" s="206" t="str">
        <f>IFERROR(MATCH('Intermediate Data'!E34,'Measure Data'!$B$7:$B$19,0),"")</f>
        <v/>
      </c>
      <c r="G34" s="45"/>
      <c r="H34" s="206" t="str">
        <f>IFERROR(MATCH('Intermediate Data'!G34,'Measure Data'!$B$7:$B$19,0),"")</f>
        <v/>
      </c>
      <c r="I34" s="47"/>
      <c r="J34" s="3"/>
      <c r="K34" s="3"/>
      <c r="L34" s="46"/>
    </row>
    <row r="35" spans="1:30" x14ac:dyDescent="0.2">
      <c r="A35" s="45">
        <v>8</v>
      </c>
      <c r="B35" s="206">
        <f>MATCH('Intermediate Data'!A35,'Measure Data'!$B$7:$B$19,0)</f>
        <v>9</v>
      </c>
      <c r="C35" s="45"/>
      <c r="D35" s="206" t="str">
        <f>IFERROR(MATCH('Intermediate Data'!C35,'Measure Data'!$B$7:$B$19,0),"")</f>
        <v/>
      </c>
      <c r="E35" s="45"/>
      <c r="F35" s="206" t="str">
        <f>IFERROR(MATCH('Intermediate Data'!E35,'Measure Data'!$B$7:$B$19,0),"")</f>
        <v/>
      </c>
      <c r="G35" s="45"/>
      <c r="H35" s="206" t="str">
        <f>IFERROR(MATCH('Intermediate Data'!G35,'Measure Data'!$B$7:$B$19,0),"")</f>
        <v/>
      </c>
      <c r="I35" s="47"/>
      <c r="J35" s="3"/>
      <c r="K35" s="3"/>
      <c r="L35" s="46"/>
    </row>
    <row r="36" spans="1:30" x14ac:dyDescent="0.2">
      <c r="A36" s="134" t="s">
        <v>400</v>
      </c>
      <c r="B36" s="3"/>
      <c r="C36" s="614" t="s">
        <v>125</v>
      </c>
      <c r="D36" s="614"/>
      <c r="E36" s="616" t="s">
        <v>269</v>
      </c>
      <c r="F36" s="616"/>
      <c r="G36" s="616" t="s">
        <v>633</v>
      </c>
      <c r="H36" s="616"/>
      <c r="I36" s="616"/>
      <c r="J36" s="616"/>
      <c r="K36" s="614" t="s">
        <v>282</v>
      </c>
      <c r="L36" s="615"/>
      <c r="T36"/>
      <c r="U36" s="29"/>
      <c r="AC36"/>
      <c r="AD36" s="29"/>
    </row>
    <row r="37" spans="1:30" s="29" customFormat="1" x14ac:dyDescent="0.2">
      <c r="A37" s="45"/>
      <c r="B37" s="3" t="s">
        <v>384</v>
      </c>
      <c r="C37" s="206">
        <f ca="1">OFFSET('Measure Data'!N6,0,($D$2-1)*15)</f>
        <v>14</v>
      </c>
      <c r="D37" s="36" t="s">
        <v>33</v>
      </c>
      <c r="E37" s="379">
        <f ca="1">OFFSET('Measure Data'!T6,0,($D$2-1)*15)</f>
        <v>20</v>
      </c>
      <c r="F37" s="250">
        <f>'Measure Data'!DW6</f>
        <v>127</v>
      </c>
      <c r="G37" s="379">
        <f ca="1">OFFSET('Measure Data'!EC6,0,($D$2-1)*2)</f>
        <v>133</v>
      </c>
      <c r="H37" s="379">
        <f ca="1">OFFSET('Measure Data'!ED6,0,($D$2-1)*2)</f>
        <v>134</v>
      </c>
      <c r="I37" s="251">
        <f>'Measure Data'!EX6</f>
        <v>154</v>
      </c>
      <c r="J37" s="251">
        <f>'Measure Data'!EY6</f>
        <v>155</v>
      </c>
      <c r="K37" s="206">
        <f ca="1">OFFSET('Measure Data'!M6,0,($D$2-1)*15)</f>
        <v>13</v>
      </c>
      <c r="L37" s="257">
        <f>'Measure Data'!ES6</f>
        <v>149</v>
      </c>
    </row>
    <row r="38" spans="1:30" x14ac:dyDescent="0.2">
      <c r="A38" s="45"/>
      <c r="B38" s="3" t="s">
        <v>0</v>
      </c>
      <c r="C38" s="3" t="s">
        <v>279</v>
      </c>
      <c r="D38" s="3" t="s">
        <v>283</v>
      </c>
      <c r="E38" s="244" t="s">
        <v>279</v>
      </c>
      <c r="F38" s="47" t="s">
        <v>391</v>
      </c>
      <c r="G38" s="244" t="s">
        <v>279</v>
      </c>
      <c r="H38" s="3"/>
      <c r="I38" s="47" t="s">
        <v>68</v>
      </c>
      <c r="J38" s="3"/>
      <c r="K38" s="244" t="s">
        <v>279</v>
      </c>
      <c r="L38" s="48" t="s">
        <v>68</v>
      </c>
      <c r="T38"/>
      <c r="U38" s="29"/>
      <c r="AC38"/>
      <c r="AD38" s="29"/>
    </row>
    <row r="39" spans="1:30" s="29" customFormat="1" x14ac:dyDescent="0.2">
      <c r="A39" s="45"/>
      <c r="B39" s="3"/>
      <c r="C39" s="3"/>
      <c r="D39" s="3"/>
      <c r="E39" s="244"/>
      <c r="F39" s="47"/>
      <c r="G39" s="244" t="s">
        <v>280</v>
      </c>
      <c r="H39" s="3" t="s">
        <v>281</v>
      </c>
      <c r="I39" s="47" t="s">
        <v>280</v>
      </c>
      <c r="J39" s="47" t="s">
        <v>281</v>
      </c>
      <c r="K39" s="617" t="s">
        <v>168</v>
      </c>
      <c r="L39" s="618"/>
    </row>
    <row r="40" spans="1:30" x14ac:dyDescent="0.2">
      <c r="A40" s="378">
        <f ca="1">IFERROR(OFFSET(B33,0,($D$2-1)*2),"")</f>
        <v>3</v>
      </c>
      <c r="B40" s="206" t="str">
        <f ca="1">IF(A40="","",INDEX('Measure Data'!$B$7:$C$19,'Intermediate Data'!A40,2))</f>
        <v>Heat Pump</v>
      </c>
      <c r="C40" s="258">
        <f ca="1">IFERROR(IF(NOT(INDEX('Measure Data'!$7:$19,'Intermediate Data'!$A40,'Intermediate Data'!C$37)="Unknown"),INDEX('Measure Data'!$7:$19,'Intermediate Data'!$A40,'Intermediate Data'!C$37),'Summary View'!$AH$5),"")</f>
        <v>0.88</v>
      </c>
      <c r="D40" s="206">
        <f ca="1">IFERROR(IF(INDEX('Measure Data'!$A$7:$A$19,'Intermediate Data'!A40)="Gas",0.59,0.9),"")</f>
        <v>0.9</v>
      </c>
      <c r="E40" s="258">
        <f ca="1">IFERROR(IF(NOT(INDEX('Measure Data'!$7:$19,'Intermediate Data'!$A40,'Intermediate Data'!E$37)="Unknown"),INDEX('Measure Data'!$7:$19,'Intermediate Data'!$A40,'Intermediate Data'!E$37),'Summary View'!$AH$5),"")</f>
        <v>1266.69</v>
      </c>
      <c r="F40" s="258" t="str">
        <f ca="1">IFERROR(IF(NOT(INDEX('Measure Data'!$7:$19,'Intermediate Data'!$A40,'Intermediate Data'!F$37)="Unknown"),INDEX('Measure Data'!$7:$19,'Intermediate Data'!$A40,'Intermediate Data'!F$37),'Summary View'!$AH$5),"")</f>
        <v xml:space="preserve"> </v>
      </c>
      <c r="G40" s="258">
        <f ca="1">IFERROR(IF(NOT(INDEX('Measure Data'!$7:$19,'Intermediate Data'!$A40,'Intermediate Data'!G$37)="Unknown"),INDEX('Measure Data'!$7:$19,'Intermediate Data'!$A40,'Intermediate Data'!G$37),'Summary View'!$AH$5),"")</f>
        <v>686.4</v>
      </c>
      <c r="H40" s="258">
        <f ca="1">IFERROR(IF(NOT(INDEX('Measure Data'!$7:$19,'Intermediate Data'!$A40,'Intermediate Data'!H$37)="Unknown"),INDEX('Measure Data'!$7:$19,'Intermediate Data'!$A40,'Intermediate Data'!H$37),'Summary View'!$AH$5),"")</f>
        <v>0</v>
      </c>
      <c r="I40" s="258">
        <f ca="1">IFERROR(IF(NOT(INDEX('Measure Data'!$7:$19,'Intermediate Data'!$A40,'Intermediate Data'!I$37)="Unknown"),INDEX('Measure Data'!$7:$19,'Intermediate Data'!$A40,'Intermediate Data'!I$37),'Summary View'!$AH$5),"")</f>
        <v>1041</v>
      </c>
      <c r="J40" s="258">
        <f ca="1">IFERROR(IF(NOT(INDEX('Measure Data'!$7:$19,'Intermediate Data'!$A40,'Intermediate Data'!J$37)="Unknown"),INDEX('Measure Data'!$7:$19,'Intermediate Data'!$A40,'Intermediate Data'!J$37),'Summary View'!$AH$5),"")</f>
        <v>0</v>
      </c>
      <c r="K40" s="258">
        <f ca="1">IFERROR(IF(NOT(INDEX('Measure Data'!$7:$19,'Intermediate Data'!$A40,'Intermediate Data'!K$37)="Unknown"),INDEX('Measure Data'!$7:$19,'Intermediate Data'!$A40,'Intermediate Data'!K$37),'Summary View'!$AH$5),"")</f>
        <v>10</v>
      </c>
      <c r="L40" s="392">
        <f ca="1">IFERROR(IF(NOT(INDEX('Measure Data'!$7:$19,'Intermediate Data'!$A40,'Intermediate Data'!L$37)="Unknown"),INDEX('Measure Data'!$7:$19,'Intermediate Data'!$A40,'Intermediate Data'!L$37),'Summary View'!$AH$5),"")</f>
        <v>10</v>
      </c>
      <c r="T40"/>
      <c r="U40" s="29"/>
      <c r="AC40"/>
      <c r="AD40" s="29"/>
    </row>
    <row r="41" spans="1:30" x14ac:dyDescent="0.2">
      <c r="A41" s="378">
        <f ca="1">IFERROR(OFFSET(B34,0,($D$2-1)*2),"")</f>
        <v>7</v>
      </c>
      <c r="B41" s="206" t="str">
        <f ca="1">IF(A41="","",INDEX('Measure Data'!$B$7:$C$19,'Intermediate Data'!A41,2))</f>
        <v>Gas Storage ENERGY STAR</v>
      </c>
      <c r="C41" s="258">
        <f ca="1">IFERROR(IF(NOT(INDEX('Measure Data'!$7:$19,'Intermediate Data'!$A41,'Intermediate Data'!C$37)="Unknown"),INDEX('Measure Data'!$7:$19,'Intermediate Data'!$A41,'Intermediate Data'!C$37),'Summary View'!$AH$5),"")</f>
        <v>0.56999999999999995</v>
      </c>
      <c r="D41" s="206">
        <f ca="1">IFERROR(IF(INDEX('Measure Data'!$A$7:$A$19,'Intermediate Data'!A41)="Gas",0.59,0.9),"")</f>
        <v>0.59</v>
      </c>
      <c r="E41" s="258">
        <f ca="1">IFERROR(IF(NOT(INDEX('Measure Data'!$7:$19,'Intermediate Data'!$A41,'Intermediate Data'!E$37)="Unknown"),INDEX('Measure Data'!$7:$19,'Intermediate Data'!$A41,'Intermediate Data'!E$37),'Summary View'!$AH$5),"")</f>
        <v>124.14</v>
      </c>
      <c r="F41" s="258">
        <f ca="1">IFERROR(IF(NOT(INDEX('Measure Data'!$7:$19,'Intermediate Data'!$A41,'Intermediate Data'!F$37)="Unknown"),INDEX('Measure Data'!$7:$19,'Intermediate Data'!$A41,'Intermediate Data'!F$37),'Summary View'!$AH$5),"")</f>
        <v>390</v>
      </c>
      <c r="G41" s="258">
        <f ca="1">IFERROR(IF(NOT(INDEX('Measure Data'!$7:$19,'Intermediate Data'!$A41,'Intermediate Data'!G$37)="Unknown"),INDEX('Measure Data'!$7:$19,'Intermediate Data'!$A41,'Intermediate Data'!G$37),'Summary View'!$AH$5),"")</f>
        <v>0</v>
      </c>
      <c r="H41" s="258">
        <f ca="1">IFERROR(IF(NOT(INDEX('Measure Data'!$7:$19,'Intermediate Data'!$A41,'Intermediate Data'!H$37)="Unknown"),INDEX('Measure Data'!$7:$19,'Intermediate Data'!$A41,'Intermediate Data'!H$37),'Summary View'!$AH$5),"")</f>
        <v>25.17</v>
      </c>
      <c r="I41" s="258">
        <f ca="1">IFERROR(IF(NOT(INDEX('Measure Data'!$7:$19,'Intermediate Data'!$A41,'Intermediate Data'!I$37)="Unknown"),INDEX('Measure Data'!$7:$19,'Intermediate Data'!$A41,'Intermediate Data'!I$37),'Summary View'!$AH$5),"")</f>
        <v>-66</v>
      </c>
      <c r="J41" s="258">
        <f ca="1">IFERROR(IF(NOT(INDEX('Measure Data'!$7:$19,'Intermediate Data'!$A41,'Intermediate Data'!J$37)="Unknown"),INDEX('Measure Data'!$7:$19,'Intermediate Data'!$A41,'Intermediate Data'!J$37),'Summary View'!$AH$5),"")</f>
        <v>22</v>
      </c>
      <c r="K41" s="258">
        <f ca="1">IFERROR(IF(NOT(INDEX('Measure Data'!$7:$19,'Intermediate Data'!$A41,'Intermediate Data'!K$37)="Unknown"),INDEX('Measure Data'!$7:$19,'Intermediate Data'!$A41,'Intermediate Data'!K$37),'Summary View'!$AH$5),"")</f>
        <v>11</v>
      </c>
      <c r="L41" s="392">
        <f ca="1">IFERROR(IF(NOT(INDEX('Measure Data'!$7:$19,'Intermediate Data'!$A41,'Intermediate Data'!L$37)="Unknown"),INDEX('Measure Data'!$7:$19,'Intermediate Data'!$A41,'Intermediate Data'!L$37),'Summary View'!$AH$5),"")</f>
        <v>13</v>
      </c>
      <c r="T41"/>
      <c r="U41" s="29"/>
      <c r="AC41"/>
      <c r="AD41" s="29"/>
    </row>
    <row r="42" spans="1:30" x14ac:dyDescent="0.2">
      <c r="A42" s="378">
        <f ca="1">IFERROR(OFFSET(B35,0,($D$2-1)*2),"")</f>
        <v>9</v>
      </c>
      <c r="B42" s="206" t="str">
        <f ca="1">IF(A42="","",INDEX('Measure Data'!$B$7:$C$19,'Intermediate Data'!A42,2))</f>
        <v>Condensing Tankless</v>
      </c>
      <c r="C42" s="258">
        <f ca="1">IFERROR(IF(NOT(INDEX('Measure Data'!$7:$19,'Intermediate Data'!$A42,'Intermediate Data'!C$37)="Unknown"),INDEX('Measure Data'!$7:$19,'Intermediate Data'!$A42,'Intermediate Data'!C$37),'Summary View'!$AH$5),"")</f>
        <v>0.61</v>
      </c>
      <c r="D42" s="206">
        <f ca="1">IFERROR(IF(INDEX('Measure Data'!$A$7:$A$19,'Intermediate Data'!A42)="Gas",0.59,0.9),"")</f>
        <v>0.59</v>
      </c>
      <c r="E42" s="258">
        <f ca="1">IFERROR(IF(NOT(INDEX('Measure Data'!$7:$19,'Intermediate Data'!$A42,'Intermediate Data'!E$37)="Unknown"),INDEX('Measure Data'!$7:$19,'Intermediate Data'!$A42,'Intermediate Data'!E$37),'Summary View'!$AH$5),"")</f>
        <v>1807.8</v>
      </c>
      <c r="F42" s="258" t="str">
        <f ca="1">IFERROR(IF(NOT(INDEX('Measure Data'!$7:$19,'Intermediate Data'!$A42,'Intermediate Data'!F$37)="Unknown"),INDEX('Measure Data'!$7:$19,'Intermediate Data'!$A42,'Intermediate Data'!F$37),'Summary View'!$AH$5),"")</f>
        <v xml:space="preserve"> </v>
      </c>
      <c r="G42" s="258">
        <f ca="1">IFERROR(IF(NOT(INDEX('Measure Data'!$7:$19,'Intermediate Data'!$A42,'Intermediate Data'!G$37)="Unknown"),INDEX('Measure Data'!$7:$19,'Intermediate Data'!$A42,'Intermediate Data'!G$37),'Summary View'!$AH$5),"")</f>
        <v>5.0999999999999996</v>
      </c>
      <c r="H42" s="258">
        <f ca="1">IFERROR(IF(NOT(INDEX('Measure Data'!$7:$19,'Intermediate Data'!$A42,'Intermediate Data'!H$37)="Unknown"),INDEX('Measure Data'!$7:$19,'Intermediate Data'!$A42,'Intermediate Data'!H$37),'Summary View'!$AH$5),"")</f>
        <v>15.1</v>
      </c>
      <c r="I42" s="258">
        <f ca="1">IFERROR(IF(NOT(INDEX('Measure Data'!$7:$19,'Intermediate Data'!$A42,'Intermediate Data'!I$37)="Unknown"),INDEX('Measure Data'!$7:$19,'Intermediate Data'!$A42,'Intermediate Data'!I$37),'Summary View'!$AH$5),"")</f>
        <v>-29</v>
      </c>
      <c r="J42" s="258">
        <f ca="1">IFERROR(IF(NOT(INDEX('Measure Data'!$7:$19,'Intermediate Data'!$A42,'Intermediate Data'!J$37)="Unknown"),INDEX('Measure Data'!$7:$19,'Intermediate Data'!$A42,'Intermediate Data'!J$37),'Summary View'!$AH$5),"")</f>
        <v>50</v>
      </c>
      <c r="K42" s="258">
        <f ca="1">IFERROR(IF(NOT(INDEX('Measure Data'!$7:$19,'Intermediate Data'!$A42,'Intermediate Data'!K$37)="Unknown"),INDEX('Measure Data'!$7:$19,'Intermediate Data'!$A42,'Intermediate Data'!K$37),'Summary View'!$AH$5),"")</f>
        <v>20</v>
      </c>
      <c r="L42" s="392">
        <f ca="1">IFERROR(IF(NOT(INDEX('Measure Data'!$7:$19,'Intermediate Data'!$A42,'Intermediate Data'!L$37)="Unknown"),INDEX('Measure Data'!$7:$19,'Intermediate Data'!$A42,'Intermediate Data'!L$37),'Summary View'!$AH$5),"")</f>
        <v>20</v>
      </c>
      <c r="T42"/>
      <c r="U42" s="29"/>
      <c r="AC42"/>
      <c r="AD42" s="29"/>
    </row>
    <row r="43" spans="1:30" ht="13.5" thickBot="1" x14ac:dyDescent="0.25">
      <c r="A43" s="50"/>
      <c r="B43" s="245"/>
      <c r="C43" s="49"/>
      <c r="D43" s="49"/>
      <c r="E43" s="49"/>
      <c r="F43" s="49"/>
      <c r="G43" s="49"/>
      <c r="H43" s="49"/>
      <c r="I43" s="49"/>
      <c r="J43" s="52"/>
      <c r="K43" s="52"/>
      <c r="L43" s="51"/>
    </row>
    <row r="45" spans="1:30" s="29" customFormat="1" ht="13.5" thickBot="1" x14ac:dyDescent="0.25">
      <c r="A45" s="243" t="s">
        <v>260</v>
      </c>
      <c r="B45" s="148"/>
      <c r="C45" s="149"/>
      <c r="D45" s="149"/>
      <c r="E45" s="149"/>
      <c r="F45" s="149"/>
      <c r="G45" s="149"/>
      <c r="H45" s="149"/>
      <c r="I45" s="20"/>
      <c r="J45" s="20"/>
      <c r="K45" s="20"/>
      <c r="L45" s="20"/>
      <c r="M45" s="20"/>
      <c r="N45" s="20"/>
      <c r="O45" s="20"/>
      <c r="P45" s="20"/>
      <c r="Q45" s="20"/>
      <c r="R45" s="20"/>
      <c r="S45" s="20"/>
      <c r="T45" s="20"/>
    </row>
    <row r="46" spans="1:30" x14ac:dyDescent="0.2">
      <c r="A46" s="132"/>
      <c r="B46" s="43"/>
      <c r="C46" s="43"/>
      <c r="D46" s="43"/>
      <c r="E46" s="43"/>
      <c r="F46" s="43"/>
      <c r="G46" s="43"/>
      <c r="H46" s="43"/>
      <c r="I46" s="43"/>
      <c r="J46" s="43"/>
      <c r="K46" s="43"/>
      <c r="L46" s="43"/>
      <c r="M46" s="43"/>
      <c r="N46" s="133" t="s">
        <v>259</v>
      </c>
      <c r="O46" s="43"/>
      <c r="P46" s="43"/>
      <c r="Q46" s="43"/>
      <c r="R46" s="43"/>
      <c r="S46" s="43"/>
      <c r="T46" s="44"/>
    </row>
    <row r="47" spans="1:30" x14ac:dyDescent="0.2">
      <c r="A47" s="134" t="s">
        <v>261</v>
      </c>
      <c r="B47" s="3"/>
      <c r="C47" s="3"/>
      <c r="D47" s="3"/>
      <c r="E47" s="3"/>
      <c r="F47" s="3"/>
      <c r="G47" s="3"/>
      <c r="H47" s="3"/>
      <c r="I47" s="3"/>
      <c r="J47" s="3"/>
      <c r="K47" s="3"/>
      <c r="L47" s="3"/>
      <c r="M47" s="3"/>
      <c r="N47" s="3"/>
      <c r="O47" s="3"/>
      <c r="P47" s="3"/>
      <c r="Q47" s="3"/>
      <c r="R47" s="3"/>
      <c r="S47" s="3"/>
      <c r="T47" s="46"/>
    </row>
    <row r="48" spans="1:30" x14ac:dyDescent="0.2">
      <c r="A48" s="134"/>
      <c r="B48" s="3"/>
      <c r="C48" s="163">
        <v>2004</v>
      </c>
      <c r="D48" s="164">
        <v>2008</v>
      </c>
      <c r="E48" s="164">
        <v>2009</v>
      </c>
      <c r="F48" s="164">
        <v>2010</v>
      </c>
      <c r="G48" s="164">
        <v>2011</v>
      </c>
      <c r="H48" s="164">
        <v>2012</v>
      </c>
      <c r="I48" s="164">
        <v>2013</v>
      </c>
      <c r="J48" s="164">
        <v>2014</v>
      </c>
      <c r="K48" s="164">
        <v>2015</v>
      </c>
      <c r="L48" s="165">
        <v>2016</v>
      </c>
      <c r="M48" s="3"/>
      <c r="N48" s="135" t="s">
        <v>247</v>
      </c>
      <c r="O48" s="3" t="s">
        <v>248</v>
      </c>
      <c r="P48" s="3"/>
      <c r="Q48" s="3"/>
      <c r="R48" s="3"/>
      <c r="S48" s="3"/>
      <c r="T48" s="46"/>
    </row>
    <row r="49" spans="1:20" x14ac:dyDescent="0.2">
      <c r="A49" s="158" t="s">
        <v>249</v>
      </c>
      <c r="B49" s="150" t="s">
        <v>234</v>
      </c>
      <c r="C49" s="151">
        <v>0.90399999999999991</v>
      </c>
      <c r="D49" s="151">
        <v>0.90399999999999991</v>
      </c>
      <c r="E49" s="151">
        <v>0.90399999999999991</v>
      </c>
      <c r="F49" s="151">
        <v>0.90399999999999991</v>
      </c>
      <c r="G49" s="151">
        <v>0.90399999999999991</v>
      </c>
      <c r="H49" s="151">
        <v>0.90399999999999991</v>
      </c>
      <c r="I49" s="151">
        <v>0.90399999999999991</v>
      </c>
      <c r="J49" s="151">
        <v>0.90399999999999991</v>
      </c>
      <c r="K49" s="151">
        <v>0.94499999999999995</v>
      </c>
      <c r="L49" s="152">
        <v>0.94499999999999995</v>
      </c>
      <c r="M49" s="3"/>
      <c r="N49" s="135" t="s">
        <v>228</v>
      </c>
      <c r="O49" s="3" t="s">
        <v>57</v>
      </c>
      <c r="P49" s="3"/>
      <c r="Q49" s="3"/>
      <c r="R49" s="3"/>
      <c r="S49" s="3"/>
      <c r="T49" s="46"/>
    </row>
    <row r="50" spans="1:20" x14ac:dyDescent="0.2">
      <c r="A50" s="159"/>
      <c r="B50" s="153" t="s">
        <v>233</v>
      </c>
      <c r="C50" s="137">
        <v>0.93</v>
      </c>
      <c r="D50" s="137">
        <v>0.93</v>
      </c>
      <c r="E50" s="137">
        <v>0.93</v>
      </c>
      <c r="F50" s="137">
        <v>0.93</v>
      </c>
      <c r="G50" s="137">
        <v>0.93</v>
      </c>
      <c r="H50" s="137">
        <v>0.93</v>
      </c>
      <c r="I50" s="137">
        <v>0.93</v>
      </c>
      <c r="J50" s="137">
        <v>0.93</v>
      </c>
      <c r="K50" s="137">
        <v>0.93</v>
      </c>
      <c r="L50" s="154">
        <v>0.93</v>
      </c>
      <c r="M50" s="3"/>
      <c r="N50" s="3"/>
      <c r="O50" s="3"/>
      <c r="P50" s="3"/>
      <c r="Q50" s="3"/>
      <c r="R50" s="3"/>
      <c r="S50" s="3"/>
      <c r="T50" s="46"/>
    </row>
    <row r="51" spans="1:20" x14ac:dyDescent="0.2">
      <c r="A51" s="159"/>
      <c r="B51" s="153" t="s">
        <v>223</v>
      </c>
      <c r="C51" s="137"/>
      <c r="D51" s="137"/>
      <c r="E51" s="137">
        <v>2</v>
      </c>
      <c r="F51" s="137">
        <v>2</v>
      </c>
      <c r="G51" s="137">
        <v>2</v>
      </c>
      <c r="H51" s="137">
        <v>2</v>
      </c>
      <c r="I51" s="137">
        <v>2</v>
      </c>
      <c r="J51" s="137">
        <v>2</v>
      </c>
      <c r="K51" s="137">
        <v>2</v>
      </c>
      <c r="L51" s="154">
        <v>2</v>
      </c>
      <c r="M51" s="3"/>
      <c r="N51" s="135" t="s">
        <v>232</v>
      </c>
      <c r="O51" s="135" t="s">
        <v>14</v>
      </c>
      <c r="P51" s="3"/>
      <c r="Q51" s="3"/>
      <c r="R51" s="3"/>
      <c r="S51" s="3"/>
      <c r="T51" s="3"/>
    </row>
    <row r="52" spans="1:20" x14ac:dyDescent="0.2">
      <c r="A52" s="160" t="s">
        <v>250</v>
      </c>
      <c r="B52" s="153" t="s">
        <v>234</v>
      </c>
      <c r="C52" s="137">
        <v>0.59400000000000008</v>
      </c>
      <c r="D52" s="137">
        <v>0.59400000000000008</v>
      </c>
      <c r="E52" s="137">
        <v>0.59400000000000008</v>
      </c>
      <c r="F52" s="137">
        <v>0.59400000000000008</v>
      </c>
      <c r="G52" s="137">
        <v>0.59400000000000008</v>
      </c>
      <c r="H52" s="137">
        <v>0.59400000000000008</v>
      </c>
      <c r="I52" s="137">
        <v>0.59400000000000008</v>
      </c>
      <c r="J52" s="137">
        <v>0.59400000000000008</v>
      </c>
      <c r="K52" s="137">
        <v>0.61499999999999999</v>
      </c>
      <c r="L52" s="154">
        <v>0.61499999999999999</v>
      </c>
      <c r="M52" s="3"/>
      <c r="N52" s="135" t="s">
        <v>9</v>
      </c>
      <c r="O52" s="138" t="s">
        <v>15</v>
      </c>
      <c r="P52" s="138" t="s">
        <v>16</v>
      </c>
      <c r="Q52" s="138" t="s">
        <v>17</v>
      </c>
      <c r="R52" s="138" t="s">
        <v>18</v>
      </c>
      <c r="S52" s="138" t="s">
        <v>19</v>
      </c>
      <c r="T52" s="138" t="s">
        <v>20</v>
      </c>
    </row>
    <row r="53" spans="1:20" x14ac:dyDescent="0.2">
      <c r="A53" s="159"/>
      <c r="B53" s="153" t="s">
        <v>233</v>
      </c>
      <c r="C53" s="137">
        <v>0.62</v>
      </c>
      <c r="D53" s="137">
        <v>0.62</v>
      </c>
      <c r="E53" s="137">
        <v>0.62</v>
      </c>
      <c r="F53" s="137">
        <v>0.62</v>
      </c>
      <c r="G53" s="137">
        <v>0.62</v>
      </c>
      <c r="H53" s="137">
        <v>0.62</v>
      </c>
      <c r="I53" s="137">
        <v>0.62</v>
      </c>
      <c r="J53" s="137">
        <v>0.62</v>
      </c>
      <c r="K53" s="137">
        <v>0.82</v>
      </c>
      <c r="L53" s="154">
        <v>0.82</v>
      </c>
      <c r="M53" s="3"/>
      <c r="N53" s="139" t="s">
        <v>6</v>
      </c>
      <c r="O53" s="47"/>
      <c r="P53" s="47"/>
      <c r="Q53" s="47"/>
      <c r="R53" s="47"/>
      <c r="S53" s="47"/>
      <c r="T53" s="47"/>
    </row>
    <row r="54" spans="1:20" x14ac:dyDescent="0.2">
      <c r="A54" s="159"/>
      <c r="B54" s="153" t="s">
        <v>223</v>
      </c>
      <c r="C54" s="137"/>
      <c r="D54" s="137">
        <v>0.62</v>
      </c>
      <c r="E54" s="137">
        <v>0.62</v>
      </c>
      <c r="F54" s="137">
        <v>0.67</v>
      </c>
      <c r="G54" s="137">
        <v>0.67</v>
      </c>
      <c r="H54" s="137">
        <v>0.67</v>
      </c>
      <c r="I54" s="137">
        <v>0.67</v>
      </c>
      <c r="J54" s="137">
        <v>0.67</v>
      </c>
      <c r="K54" s="137">
        <v>0.67</v>
      </c>
      <c r="L54" s="154">
        <v>0.67</v>
      </c>
      <c r="M54" s="3"/>
      <c r="N54" s="136" t="s">
        <v>223</v>
      </c>
      <c r="O54" s="47"/>
      <c r="P54" s="47"/>
      <c r="Q54" s="47">
        <v>2</v>
      </c>
      <c r="R54" s="47"/>
      <c r="S54" s="47">
        <v>2</v>
      </c>
      <c r="T54" s="47">
        <v>2</v>
      </c>
    </row>
    <row r="55" spans="1:20" x14ac:dyDescent="0.2">
      <c r="A55" s="159"/>
      <c r="B55" s="153" t="s">
        <v>224</v>
      </c>
      <c r="C55" s="137"/>
      <c r="D55" s="137"/>
      <c r="E55" s="137">
        <v>0.8</v>
      </c>
      <c r="F55" s="137">
        <v>0.8</v>
      </c>
      <c r="G55" s="137">
        <v>0.8</v>
      </c>
      <c r="H55" s="137">
        <v>0.8</v>
      </c>
      <c r="I55" s="137"/>
      <c r="J55" s="137"/>
      <c r="K55" s="137"/>
      <c r="L55" s="154"/>
      <c r="M55" s="3"/>
      <c r="N55" s="136" t="s">
        <v>234</v>
      </c>
      <c r="O55" s="47">
        <v>0.90399999999999991</v>
      </c>
      <c r="P55" s="47"/>
      <c r="Q55" s="47"/>
      <c r="R55" s="47"/>
      <c r="S55" s="47"/>
      <c r="T55" s="47">
        <v>0.94499999999999995</v>
      </c>
    </row>
    <row r="56" spans="1:20" ht="13.15" customHeight="1" x14ac:dyDescent="0.2">
      <c r="A56" s="159"/>
      <c r="B56" s="153" t="s">
        <v>225</v>
      </c>
      <c r="C56" s="137"/>
      <c r="D56" s="137"/>
      <c r="E56" s="137">
        <v>0.82</v>
      </c>
      <c r="F56" s="137">
        <v>0.82</v>
      </c>
      <c r="G56" s="137">
        <v>0.82</v>
      </c>
      <c r="H56" s="137">
        <v>0.82</v>
      </c>
      <c r="I56" s="137">
        <v>0.82</v>
      </c>
      <c r="J56" s="137">
        <v>0.82</v>
      </c>
      <c r="K56" s="137">
        <v>0.9</v>
      </c>
      <c r="L56" s="154">
        <v>0.9</v>
      </c>
      <c r="M56" s="3"/>
      <c r="N56" s="136" t="s">
        <v>233</v>
      </c>
      <c r="O56" s="47">
        <v>0.93</v>
      </c>
      <c r="P56" s="47"/>
      <c r="Q56" s="47"/>
      <c r="R56" s="47"/>
      <c r="S56" s="47"/>
      <c r="T56" s="47">
        <v>0.93</v>
      </c>
    </row>
    <row r="57" spans="1:20" x14ac:dyDescent="0.2">
      <c r="A57" s="159"/>
      <c r="B57" s="153" t="s">
        <v>41</v>
      </c>
      <c r="C57" s="137"/>
      <c r="D57" s="137">
        <v>0.62</v>
      </c>
      <c r="E57" s="137">
        <v>0.62</v>
      </c>
      <c r="F57" s="137">
        <v>0.62</v>
      </c>
      <c r="G57" s="137">
        <v>0.62</v>
      </c>
      <c r="H57" s="137">
        <v>0.62</v>
      </c>
      <c r="I57" s="137">
        <v>0.62</v>
      </c>
      <c r="J57" s="137">
        <v>0.62</v>
      </c>
      <c r="K57" s="137">
        <v>0.62</v>
      </c>
      <c r="L57" s="154">
        <v>0.62</v>
      </c>
      <c r="M57" s="3"/>
      <c r="N57" s="139" t="s">
        <v>5</v>
      </c>
      <c r="O57" s="47"/>
      <c r="P57" s="47"/>
      <c r="Q57" s="47"/>
      <c r="R57" s="47"/>
      <c r="S57" s="47"/>
      <c r="T57" s="47"/>
    </row>
    <row r="58" spans="1:20" x14ac:dyDescent="0.2">
      <c r="A58" s="159"/>
      <c r="B58" s="153" t="s">
        <v>42</v>
      </c>
      <c r="C58" s="137"/>
      <c r="D58" s="137">
        <v>0.67</v>
      </c>
      <c r="E58" s="137">
        <v>0.67</v>
      </c>
      <c r="F58" s="137">
        <v>0.67</v>
      </c>
      <c r="G58" s="137">
        <v>0.67</v>
      </c>
      <c r="H58" s="137">
        <v>0.67</v>
      </c>
      <c r="I58" s="137">
        <v>0.67</v>
      </c>
      <c r="J58" s="137">
        <v>0.67</v>
      </c>
      <c r="K58" s="137">
        <v>0.67</v>
      </c>
      <c r="L58" s="154">
        <v>0.67</v>
      </c>
      <c r="M58" s="3"/>
      <c r="N58" s="136" t="s">
        <v>41</v>
      </c>
      <c r="O58" s="47"/>
      <c r="P58" s="47">
        <v>0.62</v>
      </c>
      <c r="Q58" s="47"/>
      <c r="R58" s="47"/>
      <c r="S58" s="47"/>
      <c r="T58" s="47"/>
    </row>
    <row r="59" spans="1:20" x14ac:dyDescent="0.2">
      <c r="A59" s="159"/>
      <c r="B59" s="153" t="s">
        <v>43</v>
      </c>
      <c r="C59" s="137"/>
      <c r="D59" s="137">
        <v>0.8</v>
      </c>
      <c r="E59" s="137">
        <v>0.8</v>
      </c>
      <c r="F59" s="137">
        <v>0.8</v>
      </c>
      <c r="G59" s="137">
        <v>0.8</v>
      </c>
      <c r="H59" s="137">
        <v>0.8</v>
      </c>
      <c r="I59" s="137">
        <v>0.8</v>
      </c>
      <c r="J59" s="137">
        <v>0.8</v>
      </c>
      <c r="K59" s="137">
        <v>0.8</v>
      </c>
      <c r="L59" s="154">
        <v>0.8</v>
      </c>
      <c r="M59" s="3"/>
      <c r="N59" s="136" t="s">
        <v>42</v>
      </c>
      <c r="O59" s="47"/>
      <c r="P59" s="47">
        <v>0.67</v>
      </c>
      <c r="Q59" s="47"/>
      <c r="R59" s="47"/>
      <c r="S59" s="47"/>
      <c r="T59" s="47"/>
    </row>
    <row r="60" spans="1:20" x14ac:dyDescent="0.2">
      <c r="A60" s="159"/>
      <c r="B60" s="153" t="s">
        <v>44</v>
      </c>
      <c r="C60" s="137"/>
      <c r="D60" s="137">
        <v>0.82</v>
      </c>
      <c r="E60" s="137">
        <v>0.82</v>
      </c>
      <c r="F60" s="137">
        <v>0.82</v>
      </c>
      <c r="G60" s="137">
        <v>0.82</v>
      </c>
      <c r="H60" s="137">
        <v>0.82</v>
      </c>
      <c r="I60" s="137">
        <v>0.82</v>
      </c>
      <c r="J60" s="137">
        <v>0.82</v>
      </c>
      <c r="K60" s="137">
        <v>0.82</v>
      </c>
      <c r="L60" s="154">
        <v>0.82</v>
      </c>
      <c r="M60" s="3"/>
      <c r="N60" s="136" t="s">
        <v>44</v>
      </c>
      <c r="O60" s="47"/>
      <c r="P60" s="47">
        <v>0.82</v>
      </c>
      <c r="Q60" s="47"/>
      <c r="R60" s="47"/>
      <c r="S60" s="47"/>
      <c r="T60" s="47"/>
    </row>
    <row r="61" spans="1:20" x14ac:dyDescent="0.2">
      <c r="A61" s="160" t="s">
        <v>251</v>
      </c>
      <c r="B61" s="153" t="s">
        <v>234</v>
      </c>
      <c r="C61" s="137">
        <v>0.90399999999999991</v>
      </c>
      <c r="D61" s="137">
        <v>0.90399999999999991</v>
      </c>
      <c r="E61" s="137">
        <v>0.90399999999999991</v>
      </c>
      <c r="F61" s="137">
        <v>0.90399999999999991</v>
      </c>
      <c r="G61" s="137">
        <v>0.90399999999999991</v>
      </c>
      <c r="H61" s="137">
        <v>0.90399999999999991</v>
      </c>
      <c r="I61" s="137">
        <v>0.90399999999999991</v>
      </c>
      <c r="J61" s="137">
        <v>0.90399999999999991</v>
      </c>
      <c r="K61" s="137">
        <v>1.9937199999999999</v>
      </c>
      <c r="L61" s="154">
        <v>1.9937199999999999</v>
      </c>
      <c r="M61" s="3"/>
      <c r="N61" s="136" t="s">
        <v>43</v>
      </c>
      <c r="O61" s="47"/>
      <c r="P61" s="47">
        <v>0.8</v>
      </c>
      <c r="Q61" s="47"/>
      <c r="R61" s="47"/>
      <c r="S61" s="47"/>
      <c r="T61" s="47"/>
    </row>
    <row r="62" spans="1:20" x14ac:dyDescent="0.2">
      <c r="A62" s="159"/>
      <c r="B62" s="153" t="s">
        <v>223</v>
      </c>
      <c r="C62" s="137"/>
      <c r="D62" s="137"/>
      <c r="E62" s="137">
        <v>2</v>
      </c>
      <c r="F62" s="137">
        <v>2</v>
      </c>
      <c r="G62" s="137">
        <v>2</v>
      </c>
      <c r="H62" s="137">
        <v>2</v>
      </c>
      <c r="I62" s="137">
        <v>2</v>
      </c>
      <c r="J62" s="137">
        <v>2</v>
      </c>
      <c r="K62" s="137">
        <v>2.2000000000000002</v>
      </c>
      <c r="L62" s="154">
        <v>2.2000000000000002</v>
      </c>
      <c r="M62" s="3"/>
      <c r="N62" s="136" t="s">
        <v>224</v>
      </c>
      <c r="O62" s="47"/>
      <c r="P62" s="47"/>
      <c r="Q62" s="47">
        <v>0.8</v>
      </c>
      <c r="R62" s="47"/>
      <c r="S62" s="47"/>
      <c r="T62" s="47"/>
    </row>
    <row r="63" spans="1:20" x14ac:dyDescent="0.2">
      <c r="A63" s="160" t="s">
        <v>252</v>
      </c>
      <c r="B63" s="153" t="s">
        <v>234</v>
      </c>
      <c r="C63" s="137">
        <v>0.59400000000000008</v>
      </c>
      <c r="D63" s="137">
        <v>0.59400000000000008</v>
      </c>
      <c r="E63" s="137">
        <v>0.59400000000000008</v>
      </c>
      <c r="F63" s="137">
        <v>0.59400000000000008</v>
      </c>
      <c r="G63" s="137">
        <v>0.59400000000000008</v>
      </c>
      <c r="H63" s="137">
        <v>0.59400000000000008</v>
      </c>
      <c r="I63" s="137">
        <v>0.59400000000000008</v>
      </c>
      <c r="J63" s="137">
        <v>0.59400000000000008</v>
      </c>
      <c r="K63" s="137">
        <v>0.75751999999999997</v>
      </c>
      <c r="L63" s="154">
        <v>0.75751999999999997</v>
      </c>
      <c r="M63" s="3"/>
      <c r="N63" s="136" t="s">
        <v>223</v>
      </c>
      <c r="O63" s="47"/>
      <c r="P63" s="47">
        <v>0.62</v>
      </c>
      <c r="Q63" s="47"/>
      <c r="R63" s="47">
        <v>0.67</v>
      </c>
      <c r="S63" s="47">
        <v>0.67</v>
      </c>
      <c r="T63" s="47">
        <v>0.67</v>
      </c>
    </row>
    <row r="64" spans="1:20" x14ac:dyDescent="0.2">
      <c r="A64" s="161"/>
      <c r="B64" s="153" t="s">
        <v>223</v>
      </c>
      <c r="C64" s="137"/>
      <c r="D64" s="137">
        <v>0.62</v>
      </c>
      <c r="E64" s="137"/>
      <c r="F64" s="137">
        <v>0.67</v>
      </c>
      <c r="G64" s="137">
        <v>0.67</v>
      </c>
      <c r="H64" s="137">
        <v>0.67</v>
      </c>
      <c r="I64" s="137">
        <v>0.67</v>
      </c>
      <c r="J64" s="137">
        <v>0.67</v>
      </c>
      <c r="K64" s="137">
        <v>0.77</v>
      </c>
      <c r="L64" s="154">
        <v>0.77</v>
      </c>
      <c r="M64" s="3"/>
      <c r="N64" s="136" t="s">
        <v>225</v>
      </c>
      <c r="O64" s="47"/>
      <c r="P64" s="47"/>
      <c r="Q64" s="47">
        <v>0.82</v>
      </c>
      <c r="R64" s="47"/>
      <c r="S64" s="47">
        <v>0.82</v>
      </c>
      <c r="T64" s="47">
        <v>0.9</v>
      </c>
    </row>
    <row r="65" spans="1:20" x14ac:dyDescent="0.2">
      <c r="A65" s="161"/>
      <c r="B65" s="153" t="s">
        <v>224</v>
      </c>
      <c r="C65" s="137"/>
      <c r="D65" s="137"/>
      <c r="E65" s="137">
        <v>0.8</v>
      </c>
      <c r="F65" s="137">
        <v>0.8</v>
      </c>
      <c r="G65" s="137">
        <v>0.8</v>
      </c>
      <c r="H65" s="137">
        <v>0.8</v>
      </c>
      <c r="I65" s="137"/>
      <c r="J65" s="137"/>
      <c r="K65" s="137"/>
      <c r="L65" s="154"/>
      <c r="M65" s="3"/>
      <c r="N65" s="136" t="s">
        <v>234</v>
      </c>
      <c r="O65" s="47">
        <v>0.59400000000000008</v>
      </c>
      <c r="P65" s="47"/>
      <c r="Q65" s="47"/>
      <c r="R65" s="47"/>
      <c r="S65" s="47"/>
      <c r="T65" s="47">
        <v>0.61499999999999999</v>
      </c>
    </row>
    <row r="66" spans="1:20" x14ac:dyDescent="0.2">
      <c r="A66" s="161"/>
      <c r="B66" s="153" t="s">
        <v>41</v>
      </c>
      <c r="C66" s="137"/>
      <c r="D66" s="137">
        <v>0.62</v>
      </c>
      <c r="E66" s="137">
        <v>0.62</v>
      </c>
      <c r="F66" s="137">
        <v>0.62</v>
      </c>
      <c r="G66" s="137">
        <v>0.62</v>
      </c>
      <c r="H66" s="137">
        <v>0.62</v>
      </c>
      <c r="I66" s="137">
        <v>0.62</v>
      </c>
      <c r="J66" s="137">
        <v>0.62</v>
      </c>
      <c r="K66" s="137">
        <v>0.62</v>
      </c>
      <c r="L66" s="154">
        <v>0.62</v>
      </c>
      <c r="M66" s="3"/>
      <c r="N66" s="136" t="s">
        <v>233</v>
      </c>
      <c r="O66" s="47">
        <v>0.62</v>
      </c>
      <c r="P66" s="47"/>
      <c r="Q66" s="47"/>
      <c r="R66" s="47"/>
      <c r="S66" s="47"/>
      <c r="T66" s="47">
        <v>0.82</v>
      </c>
    </row>
    <row r="67" spans="1:20" x14ac:dyDescent="0.2">
      <c r="A67" s="161"/>
      <c r="B67" s="153" t="s">
        <v>42</v>
      </c>
      <c r="C67" s="137"/>
      <c r="D67" s="137">
        <v>0.67</v>
      </c>
      <c r="E67" s="137">
        <v>0.67</v>
      </c>
      <c r="F67" s="137">
        <v>0.67</v>
      </c>
      <c r="G67" s="137">
        <v>0.67</v>
      </c>
      <c r="H67" s="137">
        <v>0.67</v>
      </c>
      <c r="I67" s="137">
        <v>0.67</v>
      </c>
      <c r="J67" s="137">
        <v>0.67</v>
      </c>
      <c r="K67" s="137">
        <v>0.67</v>
      </c>
      <c r="L67" s="154">
        <v>0.67</v>
      </c>
      <c r="M67" s="3"/>
      <c r="N67" s="3"/>
      <c r="O67" s="3"/>
      <c r="P67" s="3"/>
      <c r="Q67" s="3"/>
      <c r="R67" s="3"/>
      <c r="S67" s="3"/>
      <c r="T67" s="46"/>
    </row>
    <row r="68" spans="1:20" x14ac:dyDescent="0.2">
      <c r="A68" s="161"/>
      <c r="B68" s="153" t="s">
        <v>44</v>
      </c>
      <c r="C68" s="137"/>
      <c r="D68" s="137">
        <v>0.82</v>
      </c>
      <c r="E68" s="137">
        <v>0.82</v>
      </c>
      <c r="F68" s="137">
        <v>0.82</v>
      </c>
      <c r="G68" s="137">
        <v>0.82</v>
      </c>
      <c r="H68" s="137">
        <v>0.82</v>
      </c>
      <c r="I68" s="137">
        <v>0.82</v>
      </c>
      <c r="J68" s="137">
        <v>0.82</v>
      </c>
      <c r="K68" s="137">
        <v>0.82</v>
      </c>
      <c r="L68" s="154">
        <v>0.82</v>
      </c>
      <c r="M68" s="3"/>
      <c r="N68" s="3"/>
      <c r="O68" s="3"/>
      <c r="P68" s="3"/>
      <c r="Q68" s="3"/>
      <c r="R68" s="3"/>
      <c r="S68" s="3"/>
      <c r="T68" s="46"/>
    </row>
    <row r="69" spans="1:20" x14ac:dyDescent="0.2">
      <c r="A69" s="162"/>
      <c r="B69" s="155" t="s">
        <v>43</v>
      </c>
      <c r="C69" s="156"/>
      <c r="D69" s="156">
        <v>0.8</v>
      </c>
      <c r="E69" s="156">
        <v>0.8</v>
      </c>
      <c r="F69" s="156">
        <v>0.8</v>
      </c>
      <c r="G69" s="156">
        <v>0.8</v>
      </c>
      <c r="H69" s="156">
        <v>0.8</v>
      </c>
      <c r="I69" s="156">
        <v>0.8</v>
      </c>
      <c r="J69" s="156">
        <v>0.8</v>
      </c>
      <c r="K69" s="156">
        <v>0.8</v>
      </c>
      <c r="L69" s="157">
        <v>0.8</v>
      </c>
      <c r="M69" s="3"/>
      <c r="N69" s="3"/>
      <c r="O69" s="3"/>
      <c r="P69" s="3"/>
      <c r="Q69" s="3"/>
      <c r="R69" s="3"/>
      <c r="S69" s="3"/>
      <c r="T69" s="46"/>
    </row>
    <row r="70" spans="1:20" x14ac:dyDescent="0.2">
      <c r="A70" s="45"/>
      <c r="B70" s="3"/>
      <c r="C70" s="3"/>
      <c r="D70" s="3"/>
      <c r="E70" s="3"/>
      <c r="F70" s="3"/>
      <c r="G70" s="3"/>
      <c r="H70" s="3"/>
      <c r="I70" s="140"/>
      <c r="J70" s="140"/>
      <c r="K70" s="140"/>
      <c r="L70" s="140"/>
      <c r="M70" s="3"/>
      <c r="N70" s="3"/>
      <c r="O70" s="3"/>
      <c r="P70" s="3"/>
      <c r="Q70" s="3"/>
      <c r="R70" s="3"/>
      <c r="S70" s="3"/>
      <c r="T70" s="46"/>
    </row>
    <row r="71" spans="1:20" x14ac:dyDescent="0.2">
      <c r="A71" s="134" t="s">
        <v>262</v>
      </c>
      <c r="B71" s="3"/>
      <c r="C71" s="3"/>
      <c r="D71" s="3"/>
      <c r="E71" s="3"/>
      <c r="F71" s="3"/>
      <c r="G71" s="3"/>
      <c r="H71" s="3"/>
      <c r="I71" s="140"/>
      <c r="J71" s="140"/>
      <c r="K71" s="140"/>
      <c r="L71" s="140"/>
      <c r="M71" s="3"/>
      <c r="N71" s="3"/>
      <c r="O71" s="3"/>
      <c r="P71" s="3"/>
      <c r="Q71" s="3"/>
      <c r="R71" s="3"/>
      <c r="S71" s="3"/>
      <c r="T71" s="46"/>
    </row>
    <row r="72" spans="1:20" x14ac:dyDescent="0.2">
      <c r="A72" s="173"/>
      <c r="B72" s="166" t="s">
        <v>12</v>
      </c>
      <c r="C72" s="166" t="s">
        <v>257</v>
      </c>
      <c r="D72" s="167" t="s">
        <v>239</v>
      </c>
      <c r="E72" s="168" t="s">
        <v>258</v>
      </c>
      <c r="F72" s="3"/>
      <c r="G72" s="3"/>
      <c r="H72" s="3"/>
      <c r="I72" s="140"/>
      <c r="J72" s="140"/>
      <c r="K72" s="140"/>
      <c r="L72" s="140"/>
      <c r="M72" s="3"/>
      <c r="N72" s="3"/>
      <c r="O72" s="3"/>
      <c r="P72" s="3"/>
      <c r="Q72" s="3"/>
      <c r="R72" s="3"/>
      <c r="S72" s="3"/>
      <c r="T72" s="46"/>
    </row>
    <row r="73" spans="1:20" x14ac:dyDescent="0.2">
      <c r="A73" s="161" t="s">
        <v>5</v>
      </c>
      <c r="B73" s="3" t="s">
        <v>623</v>
      </c>
      <c r="C73" s="142" t="s">
        <v>246</v>
      </c>
      <c r="D73" s="143" t="s">
        <v>240</v>
      </c>
      <c r="E73" s="169" t="s">
        <v>238</v>
      </c>
      <c r="F73" s="3"/>
      <c r="G73" s="3"/>
      <c r="H73" s="3"/>
      <c r="I73" s="140"/>
      <c r="J73" s="140"/>
      <c r="K73" s="140"/>
      <c r="L73" s="140"/>
      <c r="M73" s="3"/>
      <c r="N73" s="3"/>
      <c r="O73" s="3"/>
      <c r="P73" s="3"/>
      <c r="Q73" s="3"/>
      <c r="R73" s="3"/>
      <c r="S73" s="3"/>
      <c r="T73" s="46"/>
    </row>
    <row r="74" spans="1:20" x14ac:dyDescent="0.2">
      <c r="A74" s="161"/>
      <c r="B74" s="3" t="s">
        <v>226</v>
      </c>
      <c r="C74" s="36" t="s">
        <v>246</v>
      </c>
      <c r="D74" s="36" t="s">
        <v>235</v>
      </c>
      <c r="E74" s="170" t="s">
        <v>236</v>
      </c>
      <c r="F74" s="3"/>
      <c r="G74" s="140"/>
      <c r="H74" s="140"/>
      <c r="I74" s="140"/>
      <c r="J74" s="140"/>
      <c r="K74" s="140"/>
      <c r="L74" s="140"/>
      <c r="M74" s="3"/>
      <c r="N74" s="3"/>
      <c r="O74" s="3"/>
      <c r="P74" s="3"/>
      <c r="Q74" s="3"/>
      <c r="R74" s="3"/>
      <c r="S74" s="3"/>
      <c r="T74" s="46"/>
    </row>
    <row r="75" spans="1:20" x14ac:dyDescent="0.2">
      <c r="A75" s="161"/>
      <c r="B75" s="3" t="s">
        <v>231</v>
      </c>
      <c r="C75" s="36" t="s">
        <v>246</v>
      </c>
      <c r="D75" s="36" t="s">
        <v>242</v>
      </c>
      <c r="E75" s="170" t="s">
        <v>237</v>
      </c>
      <c r="F75" s="3"/>
      <c r="G75" s="36"/>
      <c r="H75" s="36"/>
      <c r="I75" s="36"/>
      <c r="J75" s="36"/>
      <c r="K75" s="36"/>
      <c r="L75" s="36"/>
      <c r="M75" s="36"/>
      <c r="N75" s="36"/>
      <c r="O75" s="3"/>
      <c r="P75" s="3"/>
      <c r="Q75" s="3"/>
      <c r="R75" s="3"/>
      <c r="S75" s="36"/>
      <c r="T75" s="144"/>
    </row>
    <row r="76" spans="1:20" x14ac:dyDescent="0.2">
      <c r="A76" s="161" t="s">
        <v>6</v>
      </c>
      <c r="B76" s="3" t="s">
        <v>226</v>
      </c>
      <c r="C76" s="36" t="s">
        <v>246</v>
      </c>
      <c r="D76" s="36" t="s">
        <v>235</v>
      </c>
      <c r="E76" s="170" t="s">
        <v>236</v>
      </c>
      <c r="F76" s="3"/>
      <c r="G76" s="3"/>
      <c r="H76" s="36"/>
      <c r="I76" s="36"/>
      <c r="J76" s="36"/>
      <c r="K76" s="36"/>
      <c r="L76" s="36"/>
      <c r="M76" s="36"/>
      <c r="N76" s="36"/>
      <c r="O76" s="3"/>
      <c r="P76" s="3"/>
      <c r="Q76" s="3"/>
      <c r="R76" s="3"/>
      <c r="S76" s="36"/>
      <c r="T76" s="144"/>
    </row>
    <row r="77" spans="1:20" x14ac:dyDescent="0.2">
      <c r="A77" s="162"/>
      <c r="B77" s="4" t="s">
        <v>230</v>
      </c>
      <c r="C77" s="171" t="s">
        <v>246</v>
      </c>
      <c r="D77" s="171" t="s">
        <v>241</v>
      </c>
      <c r="E77" s="172" t="s">
        <v>237</v>
      </c>
      <c r="F77" s="3"/>
      <c r="G77" s="141"/>
      <c r="H77" s="141"/>
      <c r="I77" s="141"/>
      <c r="J77" s="141"/>
      <c r="K77" s="141"/>
      <c r="L77" s="141"/>
      <c r="M77" s="141"/>
      <c r="N77" s="141"/>
      <c r="O77" s="3"/>
      <c r="P77" s="3"/>
      <c r="Q77" s="3"/>
      <c r="R77" s="3"/>
      <c r="S77" s="141"/>
      <c r="T77" s="145"/>
    </row>
    <row r="78" spans="1:20" ht="13.5" thickBot="1" x14ac:dyDescent="0.25">
      <c r="A78" s="50"/>
      <c r="B78" s="52"/>
      <c r="C78" s="52"/>
      <c r="D78" s="52"/>
      <c r="E78" s="52"/>
      <c r="F78" s="52"/>
      <c r="G78" s="52"/>
      <c r="H78" s="52"/>
      <c r="I78" s="146"/>
      <c r="J78" s="146"/>
      <c r="K78" s="146"/>
      <c r="L78" s="146"/>
      <c r="M78" s="146"/>
      <c r="N78" s="146"/>
      <c r="O78" s="52"/>
      <c r="P78" s="146"/>
      <c r="Q78" s="146"/>
      <c r="R78" s="146"/>
      <c r="S78" s="146"/>
      <c r="T78" s="147"/>
    </row>
    <row r="79" spans="1:20" x14ac:dyDescent="0.2">
      <c r="I79" s="10"/>
      <c r="J79" s="10"/>
      <c r="K79" s="10"/>
      <c r="L79" s="10"/>
      <c r="M79" s="10"/>
      <c r="N79" s="10"/>
      <c r="O79" s="29"/>
      <c r="P79" s="10"/>
      <c r="Q79" s="10"/>
      <c r="R79" s="10"/>
      <c r="S79" s="10"/>
      <c r="T79" s="10"/>
    </row>
    <row r="80" spans="1:20" x14ac:dyDescent="0.2">
      <c r="I80" s="10"/>
      <c r="J80" s="10"/>
      <c r="K80" s="10"/>
      <c r="L80" s="10"/>
      <c r="M80" s="10"/>
      <c r="N80" s="10"/>
      <c r="O80" s="10"/>
      <c r="P80" s="10"/>
      <c r="Q80" s="10"/>
      <c r="R80" s="10"/>
      <c r="S80" s="10"/>
      <c r="T80" s="10"/>
    </row>
    <row r="81" spans="1:20" x14ac:dyDescent="0.2">
      <c r="I81" s="10"/>
      <c r="J81" s="10"/>
      <c r="K81" s="10"/>
      <c r="L81" s="10"/>
      <c r="M81" s="10"/>
      <c r="N81" s="10"/>
      <c r="O81" s="10"/>
      <c r="P81" s="10"/>
      <c r="Q81" s="10"/>
      <c r="R81" s="10"/>
      <c r="S81" s="10"/>
      <c r="T81" s="10"/>
    </row>
    <row r="82" spans="1:20" x14ac:dyDescent="0.2">
      <c r="I82" s="10"/>
      <c r="J82" s="10"/>
      <c r="K82" s="10"/>
      <c r="L82" s="10"/>
      <c r="M82" s="10"/>
      <c r="N82" s="10"/>
      <c r="O82" s="10"/>
      <c r="P82" s="10"/>
      <c r="Q82" s="10"/>
      <c r="R82" s="10"/>
      <c r="S82" s="10"/>
      <c r="T82" s="10"/>
    </row>
    <row r="83" spans="1:20" x14ac:dyDescent="0.2">
      <c r="I83" s="10"/>
      <c r="J83" s="10"/>
      <c r="K83" s="10"/>
      <c r="L83" s="10"/>
      <c r="M83" s="10"/>
      <c r="N83" s="10"/>
      <c r="O83" s="10"/>
      <c r="P83" s="10"/>
      <c r="Q83" s="10"/>
      <c r="R83" s="10"/>
      <c r="S83" s="10"/>
      <c r="T83" s="10"/>
    </row>
    <row r="84" spans="1:20" x14ac:dyDescent="0.2">
      <c r="I84" s="10"/>
      <c r="J84" s="10"/>
      <c r="K84" s="10"/>
      <c r="L84" s="10"/>
      <c r="M84" s="10"/>
      <c r="N84" s="10"/>
      <c r="O84" s="10"/>
      <c r="P84" s="10"/>
      <c r="Q84" s="10"/>
      <c r="R84" s="10"/>
      <c r="S84" s="10"/>
      <c r="T84" s="10"/>
    </row>
    <row r="85" spans="1:20" x14ac:dyDescent="0.2">
      <c r="I85" s="10"/>
      <c r="J85" s="10"/>
      <c r="K85" s="10"/>
      <c r="L85" s="10"/>
      <c r="M85" s="10"/>
      <c r="N85" s="10"/>
      <c r="O85" s="10"/>
      <c r="P85" s="10"/>
      <c r="Q85" s="10"/>
      <c r="R85" s="10"/>
      <c r="S85" s="10"/>
      <c r="T85" s="10"/>
    </row>
    <row r="86" spans="1:20" x14ac:dyDescent="0.2">
      <c r="H86" s="16"/>
      <c r="I86" s="16"/>
      <c r="J86" s="16"/>
      <c r="K86" s="16"/>
      <c r="L86" s="16"/>
      <c r="M86" s="16"/>
    </row>
    <row r="87" spans="1:20" x14ac:dyDescent="0.2">
      <c r="H87" s="16"/>
      <c r="I87" s="16"/>
      <c r="J87" s="16"/>
      <c r="K87" s="16"/>
      <c r="L87" s="16"/>
      <c r="M87" s="16"/>
    </row>
    <row r="88" spans="1:20" s="11" customFormat="1" x14ac:dyDescent="0.2">
      <c r="A88"/>
      <c r="B88"/>
      <c r="C88"/>
      <c r="D88"/>
      <c r="E88"/>
      <c r="F88"/>
      <c r="G88"/>
      <c r="H88" s="17"/>
      <c r="I88" s="17"/>
      <c r="J88" s="17"/>
      <c r="K88" s="17"/>
      <c r="L88" s="17"/>
      <c r="M88" s="17"/>
    </row>
    <row r="89" spans="1:20" ht="14.25" x14ac:dyDescent="0.3">
      <c r="H89" s="18"/>
      <c r="I89" s="16"/>
      <c r="J89" s="16"/>
      <c r="K89" s="16"/>
      <c r="L89" s="16"/>
      <c r="M89" s="16"/>
    </row>
    <row r="90" spans="1:20" ht="14.25" x14ac:dyDescent="0.3">
      <c r="H90" s="18"/>
      <c r="I90" s="16"/>
      <c r="J90" s="16"/>
      <c r="K90" s="16"/>
      <c r="L90" s="16"/>
      <c r="M90" s="16"/>
    </row>
    <row r="91" spans="1:20" ht="14.25" x14ac:dyDescent="0.3">
      <c r="H91" s="18"/>
      <c r="I91" s="16"/>
      <c r="J91" s="16"/>
      <c r="K91" s="16"/>
      <c r="L91" s="16"/>
      <c r="M91" s="16"/>
    </row>
    <row r="92" spans="1:20" x14ac:dyDescent="0.2">
      <c r="H92" s="16"/>
      <c r="I92" s="16"/>
      <c r="J92" s="16"/>
      <c r="K92" s="16"/>
      <c r="L92" s="16"/>
      <c r="M92" s="16"/>
    </row>
    <row r="93" spans="1:20" x14ac:dyDescent="0.2">
      <c r="H93" s="16"/>
      <c r="I93" s="16"/>
      <c r="J93" s="16"/>
      <c r="K93" s="16"/>
      <c r="L93" s="16"/>
      <c r="M93" s="16"/>
    </row>
    <row r="94" spans="1:20" x14ac:dyDescent="0.2">
      <c r="H94" s="16"/>
      <c r="I94" s="16"/>
      <c r="J94" s="16"/>
      <c r="K94" s="16"/>
      <c r="L94" s="16"/>
      <c r="M94" s="16"/>
    </row>
    <row r="95" spans="1:20" x14ac:dyDescent="0.2">
      <c r="G95" s="16"/>
      <c r="H95" s="16"/>
      <c r="I95" s="16"/>
      <c r="J95" s="16"/>
      <c r="K95" s="16"/>
      <c r="L95" s="16"/>
      <c r="M95" s="16"/>
    </row>
    <row r="96" spans="1:20" x14ac:dyDescent="0.2">
      <c r="G96" s="16"/>
      <c r="H96" s="16"/>
      <c r="I96" s="16"/>
      <c r="J96" s="16"/>
      <c r="K96" s="16"/>
      <c r="L96" s="16"/>
      <c r="M96" s="16"/>
    </row>
    <row r="97" spans="7:13" x14ac:dyDescent="0.2">
      <c r="G97" s="16"/>
      <c r="H97" s="16"/>
      <c r="I97" s="16"/>
      <c r="J97" s="16"/>
      <c r="K97" s="16"/>
      <c r="L97" s="16"/>
      <c r="M97" s="16"/>
    </row>
    <row r="98" spans="7:13" x14ac:dyDescent="0.2">
      <c r="G98" s="16"/>
      <c r="H98" s="16"/>
      <c r="I98" s="16"/>
      <c r="J98" s="16"/>
      <c r="K98" s="16"/>
      <c r="L98" s="16"/>
      <c r="M98" s="16"/>
    </row>
    <row r="99" spans="7:13" x14ac:dyDescent="0.2">
      <c r="G99" s="16"/>
      <c r="H99" s="16"/>
      <c r="I99" s="16"/>
      <c r="J99" s="16"/>
      <c r="K99" s="16"/>
      <c r="L99" s="16"/>
      <c r="M99" s="16"/>
    </row>
    <row r="100" spans="7:13" x14ac:dyDescent="0.2">
      <c r="G100" s="16"/>
      <c r="H100" s="16"/>
      <c r="I100" s="16"/>
      <c r="J100" s="16"/>
      <c r="K100" s="16"/>
      <c r="L100" s="16"/>
      <c r="M100" s="16"/>
    </row>
    <row r="101" spans="7:13" x14ac:dyDescent="0.2">
      <c r="G101" s="16"/>
      <c r="H101" s="16"/>
      <c r="I101" s="16"/>
      <c r="J101" s="16"/>
      <c r="K101" s="16"/>
      <c r="L101" s="16"/>
      <c r="M101" s="16"/>
    </row>
    <row r="102" spans="7:13" x14ac:dyDescent="0.2">
      <c r="G102" s="19"/>
      <c r="H102" s="19"/>
      <c r="I102" s="19"/>
      <c r="J102" s="19"/>
      <c r="K102" s="19"/>
      <c r="L102" s="19"/>
      <c r="M102" s="19"/>
    </row>
    <row r="121" spans="7:14" x14ac:dyDescent="0.2">
      <c r="G121" s="9" t="str">
        <f t="shared" ref="G121:G133" si="0">IF(G120="","",IF(G120+1&lt;$A$113,G120+1,""))</f>
        <v/>
      </c>
      <c r="H121" t="str">
        <f t="shared" ref="H121:H133" ca="1" si="1">IF(ISNUMBER(G121),_xlfn.RANK.EQ(C121,OFFSET(C$113,0,0,$A$113-1),1),"")</f>
        <v/>
      </c>
      <c r="I121" t="str">
        <f t="shared" ref="I121:I133" ca="1" si="2">IF(ISNUMBER(H121),_xlfn.RANK.EQ(D121,OFFSET(D$113,0,0,$A$113-1),0),"")</f>
        <v/>
      </c>
      <c r="J121" t="str">
        <f t="shared" ref="J121:J133" ca="1" si="3">IF(ISNUMBER(I121),_xlfn.RANK.EQ(E121,OFFSET(E$113,0,0,$A$113-1),0),"")</f>
        <v/>
      </c>
      <c r="K121" t="str">
        <f t="shared" ref="K121:K133" si="4">IF(ISNUMBER(G121),IF(F121&gt;0.79,1,0),"")</f>
        <v/>
      </c>
      <c r="L121" t="str">
        <f t="shared" ref="L121:L133" si="5">IF(ISNUMBER(G121),SUM(H121:K121),"")</f>
        <v/>
      </c>
      <c r="M121" s="31" t="str">
        <f t="shared" ref="M121:M128" si="6">IF(ISNUMBER(L121),10-(L121/MAX($L$113:$L$131)*10),"")</f>
        <v/>
      </c>
      <c r="N121" s="29" t="str">
        <f t="shared" ref="N121:N128" ca="1" si="7">IF(ISNUMBER(G121),_xlfn.RANK.EQ(L121,OFFSET($L$113,0,0,$A$113-1),1),"")</f>
        <v/>
      </c>
    </row>
    <row r="122" spans="7:14" x14ac:dyDescent="0.2">
      <c r="G122" s="9" t="str">
        <f t="shared" si="0"/>
        <v/>
      </c>
      <c r="H122" t="str">
        <f t="shared" ca="1" si="1"/>
        <v/>
      </c>
      <c r="I122" t="str">
        <f t="shared" ca="1" si="2"/>
        <v/>
      </c>
      <c r="J122" t="str">
        <f t="shared" ca="1" si="3"/>
        <v/>
      </c>
      <c r="K122" t="str">
        <f t="shared" si="4"/>
        <v/>
      </c>
      <c r="L122" t="str">
        <f t="shared" si="5"/>
        <v/>
      </c>
      <c r="M122" s="31" t="str">
        <f t="shared" si="6"/>
        <v/>
      </c>
      <c r="N122" s="29" t="str">
        <f t="shared" ca="1" si="7"/>
        <v/>
      </c>
    </row>
    <row r="123" spans="7:14" x14ac:dyDescent="0.2">
      <c r="G123" s="9" t="str">
        <f t="shared" si="0"/>
        <v/>
      </c>
      <c r="H123" t="str">
        <f t="shared" ca="1" si="1"/>
        <v/>
      </c>
      <c r="I123" t="str">
        <f t="shared" ca="1" si="2"/>
        <v/>
      </c>
      <c r="J123" t="str">
        <f t="shared" ca="1" si="3"/>
        <v/>
      </c>
      <c r="K123" t="str">
        <f t="shared" si="4"/>
        <v/>
      </c>
      <c r="L123" t="str">
        <f t="shared" si="5"/>
        <v/>
      </c>
      <c r="M123" s="31" t="str">
        <f t="shared" si="6"/>
        <v/>
      </c>
      <c r="N123" s="29" t="str">
        <f t="shared" ca="1" si="7"/>
        <v/>
      </c>
    </row>
    <row r="124" spans="7:14" x14ac:dyDescent="0.2">
      <c r="G124" s="9" t="str">
        <f t="shared" si="0"/>
        <v/>
      </c>
      <c r="H124" t="str">
        <f t="shared" ca="1" si="1"/>
        <v/>
      </c>
      <c r="I124" t="str">
        <f t="shared" ca="1" si="2"/>
        <v/>
      </c>
      <c r="J124" t="str">
        <f t="shared" ca="1" si="3"/>
        <v/>
      </c>
      <c r="K124" t="str">
        <f t="shared" si="4"/>
        <v/>
      </c>
      <c r="L124" t="str">
        <f t="shared" si="5"/>
        <v/>
      </c>
      <c r="M124" s="31" t="str">
        <f t="shared" si="6"/>
        <v/>
      </c>
      <c r="N124" s="29" t="str">
        <f t="shared" ca="1" si="7"/>
        <v/>
      </c>
    </row>
    <row r="125" spans="7:14" x14ac:dyDescent="0.2">
      <c r="G125" s="9" t="str">
        <f t="shared" si="0"/>
        <v/>
      </c>
      <c r="H125" t="str">
        <f t="shared" ca="1" si="1"/>
        <v/>
      </c>
      <c r="I125" t="str">
        <f t="shared" ca="1" si="2"/>
        <v/>
      </c>
      <c r="J125" t="str">
        <f t="shared" ca="1" si="3"/>
        <v/>
      </c>
      <c r="K125" t="str">
        <f t="shared" si="4"/>
        <v/>
      </c>
      <c r="L125" t="str">
        <f t="shared" si="5"/>
        <v/>
      </c>
      <c r="M125" s="31" t="str">
        <f t="shared" si="6"/>
        <v/>
      </c>
      <c r="N125" s="29" t="str">
        <f t="shared" ca="1" si="7"/>
        <v/>
      </c>
    </row>
    <row r="126" spans="7:14" x14ac:dyDescent="0.2">
      <c r="G126" s="9" t="str">
        <f t="shared" si="0"/>
        <v/>
      </c>
      <c r="H126" t="str">
        <f t="shared" ca="1" si="1"/>
        <v/>
      </c>
      <c r="I126" t="str">
        <f t="shared" ca="1" si="2"/>
        <v/>
      </c>
      <c r="J126" t="str">
        <f t="shared" ca="1" si="3"/>
        <v/>
      </c>
      <c r="K126" t="str">
        <f t="shared" si="4"/>
        <v/>
      </c>
      <c r="L126" t="str">
        <f t="shared" si="5"/>
        <v/>
      </c>
      <c r="M126" s="31" t="str">
        <f t="shared" si="6"/>
        <v/>
      </c>
      <c r="N126" s="29" t="str">
        <f t="shared" ca="1" si="7"/>
        <v/>
      </c>
    </row>
    <row r="127" spans="7:14" x14ac:dyDescent="0.2">
      <c r="G127" s="9" t="str">
        <f t="shared" si="0"/>
        <v/>
      </c>
      <c r="H127" t="str">
        <f t="shared" ca="1" si="1"/>
        <v/>
      </c>
      <c r="I127" t="str">
        <f t="shared" ca="1" si="2"/>
        <v/>
      </c>
      <c r="J127" t="str">
        <f t="shared" ca="1" si="3"/>
        <v/>
      </c>
      <c r="K127" t="str">
        <f t="shared" si="4"/>
        <v/>
      </c>
      <c r="L127" t="str">
        <f t="shared" si="5"/>
        <v/>
      </c>
      <c r="M127" s="31" t="str">
        <f t="shared" si="6"/>
        <v/>
      </c>
      <c r="N127" s="29" t="str">
        <f t="shared" ca="1" si="7"/>
        <v/>
      </c>
    </row>
    <row r="128" spans="7:14" x14ac:dyDescent="0.2">
      <c r="G128" s="9" t="str">
        <f t="shared" si="0"/>
        <v/>
      </c>
      <c r="H128" t="str">
        <f t="shared" ca="1" si="1"/>
        <v/>
      </c>
      <c r="I128" t="str">
        <f t="shared" ca="1" si="2"/>
        <v/>
      </c>
      <c r="J128" t="str">
        <f t="shared" ca="1" si="3"/>
        <v/>
      </c>
      <c r="K128" t="str">
        <f t="shared" si="4"/>
        <v/>
      </c>
      <c r="L128" t="str">
        <f t="shared" si="5"/>
        <v/>
      </c>
      <c r="M128" s="31" t="str">
        <f t="shared" si="6"/>
        <v/>
      </c>
      <c r="N128" s="29" t="str">
        <f t="shared" ca="1" si="7"/>
        <v/>
      </c>
    </row>
    <row r="129" spans="7:13" x14ac:dyDescent="0.2">
      <c r="G129" s="9" t="str">
        <f t="shared" si="0"/>
        <v/>
      </c>
      <c r="H129" t="str">
        <f t="shared" ca="1" si="1"/>
        <v/>
      </c>
      <c r="I129" t="str">
        <f t="shared" ca="1" si="2"/>
        <v/>
      </c>
      <c r="J129" t="str">
        <f t="shared" ca="1" si="3"/>
        <v/>
      </c>
      <c r="K129" t="str">
        <f t="shared" si="4"/>
        <v/>
      </c>
      <c r="L129" t="str">
        <f t="shared" si="5"/>
        <v/>
      </c>
      <c r="M129" t="str">
        <f ca="1">IF(ISNUMBER(G129),_xlfn.RANK.EQ(L129,OFFSET($L$113,0,0,$A$113-1),1),"")</f>
        <v/>
      </c>
    </row>
    <row r="130" spans="7:13" x14ac:dyDescent="0.2">
      <c r="G130" s="9" t="str">
        <f t="shared" si="0"/>
        <v/>
      </c>
      <c r="H130" t="str">
        <f t="shared" ca="1" si="1"/>
        <v/>
      </c>
      <c r="I130" t="str">
        <f t="shared" ca="1" si="2"/>
        <v/>
      </c>
      <c r="J130" t="str">
        <f t="shared" ca="1" si="3"/>
        <v/>
      </c>
      <c r="K130" t="str">
        <f t="shared" si="4"/>
        <v/>
      </c>
      <c r="L130" t="str">
        <f t="shared" si="5"/>
        <v/>
      </c>
      <c r="M130" t="str">
        <f ca="1">IF(ISNUMBER(G130),_xlfn.RANK.EQ(L130,OFFSET($L$113,0,0,$A$113-1),1),"")</f>
        <v/>
      </c>
    </row>
    <row r="131" spans="7:13" x14ac:dyDescent="0.2">
      <c r="G131" s="9" t="str">
        <f t="shared" si="0"/>
        <v/>
      </c>
      <c r="H131" t="str">
        <f t="shared" ca="1" si="1"/>
        <v/>
      </c>
      <c r="I131" t="str">
        <f t="shared" ca="1" si="2"/>
        <v/>
      </c>
      <c r="J131" t="str">
        <f t="shared" ca="1" si="3"/>
        <v/>
      </c>
      <c r="K131" t="str">
        <f t="shared" si="4"/>
        <v/>
      </c>
      <c r="L131" t="str">
        <f t="shared" si="5"/>
        <v/>
      </c>
      <c r="M131" t="str">
        <f ca="1">IF(ISNUMBER(G131),_xlfn.RANK.EQ(L131,OFFSET($L$113,0,0,$A$113-1),1),"")</f>
        <v/>
      </c>
    </row>
    <row r="132" spans="7:13" x14ac:dyDescent="0.2">
      <c r="G132" s="9" t="str">
        <f t="shared" si="0"/>
        <v/>
      </c>
      <c r="H132" t="str">
        <f t="shared" ca="1" si="1"/>
        <v/>
      </c>
      <c r="I132" t="str">
        <f t="shared" ca="1" si="2"/>
        <v/>
      </c>
      <c r="J132" t="str">
        <f t="shared" ca="1" si="3"/>
        <v/>
      </c>
      <c r="K132" t="str">
        <f t="shared" si="4"/>
        <v/>
      </c>
      <c r="L132" t="str">
        <f t="shared" si="5"/>
        <v/>
      </c>
      <c r="M132" t="str">
        <f ca="1">IF(ISNUMBER(G132),_xlfn.RANK.EQ(L132,OFFSET($L$113,0,0,$A$113-1),1),"")</f>
        <v/>
      </c>
    </row>
    <row r="133" spans="7:13" x14ac:dyDescent="0.2">
      <c r="G133" s="9" t="str">
        <f t="shared" si="0"/>
        <v/>
      </c>
      <c r="H133" t="str">
        <f t="shared" ca="1" si="1"/>
        <v/>
      </c>
      <c r="I133" t="str">
        <f t="shared" ca="1" si="2"/>
        <v/>
      </c>
      <c r="J133" t="str">
        <f t="shared" ca="1" si="3"/>
        <v/>
      </c>
      <c r="K133" t="str">
        <f t="shared" si="4"/>
        <v/>
      </c>
      <c r="L133" t="str">
        <f t="shared" si="5"/>
        <v/>
      </c>
      <c r="M133" t="str">
        <f ca="1">IF(ISNUMBER(G133),_xlfn.RANK.EQ(L133,OFFSET($L$113,0,0,$A$113-1),1),"")</f>
        <v/>
      </c>
    </row>
  </sheetData>
  <mergeCells count="9">
    <mergeCell ref="K36:L36"/>
    <mergeCell ref="E36:F36"/>
    <mergeCell ref="C36:D36"/>
    <mergeCell ref="K39:L39"/>
    <mergeCell ref="A31:B31"/>
    <mergeCell ref="C31:D31"/>
    <mergeCell ref="E31:F31"/>
    <mergeCell ref="G31:H31"/>
    <mergeCell ref="G36:J36"/>
  </mergeCells>
  <pageMargins left="0.7" right="0.7" top="0.75" bottom="0.75" header="0.3" footer="0.3"/>
  <pageSetup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1" tint="0.499984740745262"/>
  </sheetPr>
  <dimension ref="A1:C5"/>
  <sheetViews>
    <sheetView workbookViewId="0">
      <selection activeCell="E1" sqref="E1"/>
    </sheetView>
  </sheetViews>
  <sheetFormatPr defaultRowHeight="12.75" x14ac:dyDescent="0.2"/>
  <cols>
    <col min="1" max="1" width="95.140625" customWidth="1"/>
    <col min="2" max="2" width="14.5703125" customWidth="1"/>
    <col min="3" max="3" width="9.85546875" customWidth="1"/>
    <col min="4" max="4" width="5.7109375" customWidth="1"/>
    <col min="5" max="6" width="5.28515625" customWidth="1"/>
    <col min="7" max="7" width="5" customWidth="1"/>
    <col min="8" max="8" width="9.85546875" customWidth="1"/>
    <col min="9" max="9" width="10.140625" customWidth="1"/>
    <col min="10" max="10" width="8.28515625" customWidth="1"/>
    <col min="11" max="11" width="10.140625" bestFit="1" customWidth="1"/>
  </cols>
  <sheetData>
    <row r="1" spans="1:3" ht="348" customHeight="1" x14ac:dyDescent="0.2">
      <c r="A1" s="23"/>
      <c r="B1" t="s">
        <v>253</v>
      </c>
      <c r="C1" s="37"/>
    </row>
    <row r="2" spans="1:3" ht="348" customHeight="1" x14ac:dyDescent="0.2">
      <c r="A2" s="23"/>
      <c r="B2" t="s">
        <v>254</v>
      </c>
    </row>
    <row r="3" spans="1:3" ht="348" customHeight="1" x14ac:dyDescent="0.2">
      <c r="B3" t="s">
        <v>255</v>
      </c>
    </row>
    <row r="4" spans="1:3" ht="348" customHeight="1" x14ac:dyDescent="0.2">
      <c r="B4" t="s">
        <v>328</v>
      </c>
    </row>
    <row r="5" spans="1:3" ht="26.25" x14ac:dyDescent="0.2">
      <c r="B5">
        <v>1</v>
      </c>
      <c r="C5" s="38" t="str">
        <f>INDEX($B$1:$B$4,B5)</f>
        <v>Gas - Standard Volume and Tankless</v>
      </c>
    </row>
  </sheetData>
  <dataValidations count="1">
    <dataValidation type="list" allowBlank="1" showInputMessage="1" showErrorMessage="1" sqref="C5">
      <formula1>$B$1:$B$2</formula1>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6</vt:i4>
      </vt:variant>
    </vt:vector>
  </HeadingPairs>
  <TitlesOfParts>
    <vt:vector size="15" baseType="lpstr">
      <vt:lpstr>Summary View</vt:lpstr>
      <vt:lpstr>Additional Research</vt:lpstr>
      <vt:lpstr>Existing Program Data</vt:lpstr>
      <vt:lpstr>Measure Data</vt:lpstr>
      <vt:lpstr>Codes and Specs Data</vt:lpstr>
      <vt:lpstr>Measure Descriptions</vt:lpstr>
      <vt:lpstr>Source Info</vt:lpstr>
      <vt:lpstr>Intermediate Data</vt:lpstr>
      <vt:lpstr>codes and specs view figures</vt:lpstr>
      <vt:lpstr>CSA</vt:lpstr>
      <vt:lpstr>CSB</vt:lpstr>
      <vt:lpstr>CSC</vt:lpstr>
      <vt:lpstr>CSD</vt:lpstr>
      <vt:lpstr>IOUList</vt:lpstr>
      <vt:lpstr>IOUList2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2014-09-25T17:24:17Z</dcterms:created>
  <dcterms:modified xsi:type="dcterms:W3CDTF">2015-07-03T11:24:29Z</dcterms:modified>
</cp:coreProperties>
</file>